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0" windowWidth="19040" windowHeight="13880" activeTab="0"/>
  </bookViews>
  <sheets>
    <sheet name="Люб. жим безэкип" sheetId="1" r:id="rId1"/>
    <sheet name="Люб. жим экип" sheetId="2" r:id="rId2"/>
    <sheet name="ПРО жим безэкип" sheetId="3" r:id="rId3"/>
    <sheet name="ПРО жим экип" sheetId="4" r:id="rId4"/>
    <sheet name="Люб. ПЛ. б.э." sheetId="5" r:id="rId5"/>
    <sheet name="Люб. присед б.э." sheetId="6" r:id="rId6"/>
    <sheet name="НАП тяга б.э." sheetId="7" r:id="rId7"/>
    <sheet name="Люб. ПЛ. экип" sheetId="8" r:id="rId8"/>
    <sheet name="Люб. присед экип" sheetId="9" r:id="rId9"/>
    <sheet name="Люб. тяга экип" sheetId="10" r:id="rId10"/>
    <sheet name="ПРО ПЛ безэкип" sheetId="11" r:id="rId11"/>
    <sheet name="ПРО присед безэкип" sheetId="12" r:id="rId12"/>
    <sheet name="ПРО тяга безэкип" sheetId="13" r:id="rId13"/>
    <sheet name="ПРО ПЛ экип" sheetId="14" r:id="rId14"/>
    <sheet name="ПРО присед экип" sheetId="15" r:id="rId15"/>
    <sheet name="ПРО тяга экип" sheetId="16" r:id="rId16"/>
    <sheet name="Люб НЖ 1_2 вес" sheetId="17" r:id="rId17"/>
    <sheet name="Люб. НЖ 1 вес" sheetId="18" r:id="rId18"/>
    <sheet name="ПРО НЖ 1_2 вес" sheetId="19" r:id="rId19"/>
    <sheet name="ПРО НЖ 1 вес" sheetId="20" r:id="rId20"/>
    <sheet name="РЖ 55 кг." sheetId="21" r:id="rId21"/>
    <sheet name="РЖ 75 кг." sheetId="22" r:id="rId22"/>
    <sheet name="ПС Любители" sheetId="23" r:id="rId23"/>
    <sheet name="ПС Профессионалы" sheetId="24" r:id="rId24"/>
  </sheets>
  <definedNames/>
  <calcPr fullCalcOnLoad="1"/>
</workbook>
</file>

<file path=xl/sharedStrings.xml><?xml version="1.0" encoding="utf-8"?>
<sst xmlns="http://schemas.openxmlformats.org/spreadsheetml/2006/main" count="5444" uniqueCount="1482">
  <si>
    <t>ФИО</t>
  </si>
  <si>
    <t>Жим</t>
  </si>
  <si>
    <t>Сумма</t>
  </si>
  <si>
    <t>С вес</t>
  </si>
  <si>
    <t>Тренер</t>
  </si>
  <si>
    <t>Очки</t>
  </si>
  <si>
    <t>Команда</t>
  </si>
  <si>
    <t>Рек</t>
  </si>
  <si>
    <t>Город</t>
  </si>
  <si>
    <t>Возр груп
Год. р./Возраст</t>
  </si>
  <si>
    <t>Чемпионат Евразийского Союза "Олимпия-3" Любители жим лежа без экипировки
01 - 05.Июнь.2016</t>
  </si>
  <si>
    <t>Shv/Mel</t>
  </si>
  <si>
    <t>ВЕСОВАЯ КАТЕГОРИЯ   48</t>
  </si>
  <si>
    <t>Чернявская Яна</t>
  </si>
  <si>
    <t>Open (10.12.1982)/33</t>
  </si>
  <si>
    <t>47,80</t>
  </si>
  <si>
    <t xml:space="preserve">ЯНАО </t>
  </si>
  <si>
    <t xml:space="preserve">Новый Уренгой/Ямало-Ненецкий авт. окр. </t>
  </si>
  <si>
    <t>47,5</t>
  </si>
  <si>
    <t>50,0</t>
  </si>
  <si>
    <t>50.00</t>
  </si>
  <si>
    <t xml:space="preserve"> </t>
  </si>
  <si>
    <t>ВЕСОВАЯ КАТЕГОРИЯ   52</t>
  </si>
  <si>
    <t>Головатая Ольга</t>
  </si>
  <si>
    <t>Open (09.08.1989)/26</t>
  </si>
  <si>
    <t>49,90</t>
  </si>
  <si>
    <t xml:space="preserve">Крым </t>
  </si>
  <si>
    <t xml:space="preserve">Красноперекопск/Крым </t>
  </si>
  <si>
    <t>62,5</t>
  </si>
  <si>
    <t>67,5</t>
  </si>
  <si>
    <t>67.50</t>
  </si>
  <si>
    <t>Мелконянц Юлия</t>
  </si>
  <si>
    <t>Open (17.03.1990)/26</t>
  </si>
  <si>
    <t>51,40</t>
  </si>
  <si>
    <t xml:space="preserve">Сочи </t>
  </si>
  <si>
    <t xml:space="preserve">Сочи/Краснодарский край </t>
  </si>
  <si>
    <t>45,0</t>
  </si>
  <si>
    <t>47.50</t>
  </si>
  <si>
    <t>ВЕСОВАЯ КАТЕГОРИЯ   56</t>
  </si>
  <si>
    <t>Саитова Ирина</t>
  </si>
  <si>
    <t>Open (19.10.1985)/30</t>
  </si>
  <si>
    <t>54,35</t>
  </si>
  <si>
    <t xml:space="preserve">Оренбургская область </t>
  </si>
  <si>
    <t xml:space="preserve">Оренбург/Оренбургская область </t>
  </si>
  <si>
    <t>52,5</t>
  </si>
  <si>
    <t>57,5</t>
  </si>
  <si>
    <t>52.50</t>
  </si>
  <si>
    <t>Кругом Алла</t>
  </si>
  <si>
    <t>Masters 50-54 (06.07.1962)/53</t>
  </si>
  <si>
    <t>55,70</t>
  </si>
  <si>
    <t xml:space="preserve">Красноярский край </t>
  </si>
  <si>
    <t xml:space="preserve">Красноярск/Красноярский край </t>
  </si>
  <si>
    <t>20,0</t>
  </si>
  <si>
    <t>25,0</t>
  </si>
  <si>
    <t>30,0</t>
  </si>
  <si>
    <t>30.00</t>
  </si>
  <si>
    <t>ВЕСОВАЯ КАТЕГОРИЯ   60</t>
  </si>
  <si>
    <t>Краева Наталия</t>
  </si>
  <si>
    <t>Open (02.02.1977)/39</t>
  </si>
  <si>
    <t>56,85</t>
  </si>
  <si>
    <t>65,0</t>
  </si>
  <si>
    <t>65.00</t>
  </si>
  <si>
    <t>Демидова Анна</t>
  </si>
  <si>
    <t>Open (28.11.1981)/34</t>
  </si>
  <si>
    <t>58,65</t>
  </si>
  <si>
    <t xml:space="preserve">Кабардино-Балкария </t>
  </si>
  <si>
    <t xml:space="preserve">Нальчик/Кабардино-Балкария </t>
  </si>
  <si>
    <t>77,5</t>
  </si>
  <si>
    <t>0.00</t>
  </si>
  <si>
    <t>Савина Галина</t>
  </si>
  <si>
    <t>Masters 40-44 (03.06.1975)/40</t>
  </si>
  <si>
    <t>59,65</t>
  </si>
  <si>
    <t xml:space="preserve">Воронежская область </t>
  </si>
  <si>
    <t xml:space="preserve">Россошь/Воронежская область </t>
  </si>
  <si>
    <t>60,0</t>
  </si>
  <si>
    <t>62.50</t>
  </si>
  <si>
    <t>Стороженко Пётр</t>
  </si>
  <si>
    <t>Teen 13-15 (30.04.2008)/8</t>
  </si>
  <si>
    <t>27,75</t>
  </si>
  <si>
    <t xml:space="preserve">Абхазия </t>
  </si>
  <si>
    <t xml:space="preserve">Сухум/Абхазия </t>
  </si>
  <si>
    <t>22,5</t>
  </si>
  <si>
    <t>0,0</t>
  </si>
  <si>
    <t>20.00</t>
  </si>
  <si>
    <t>Федоров Дмитрий</t>
  </si>
  <si>
    <t>Teen 13-15 (01.09.2001)/14</t>
  </si>
  <si>
    <t>56,00</t>
  </si>
  <si>
    <t>Иззетов Алексей</t>
  </si>
  <si>
    <t>Juniors 20-23 (15.09.1993)/22</t>
  </si>
  <si>
    <t>59,80</t>
  </si>
  <si>
    <t xml:space="preserve">Симферополь/Крым </t>
  </si>
  <si>
    <t>115,0</t>
  </si>
  <si>
    <t>120,0</t>
  </si>
  <si>
    <t>115.00</t>
  </si>
  <si>
    <t>Хайруллин Айрат</t>
  </si>
  <si>
    <t>Masters 50-54 (24.01.1964)/52</t>
  </si>
  <si>
    <t>59,40</t>
  </si>
  <si>
    <t xml:space="preserve">Татарстан </t>
  </si>
  <si>
    <t xml:space="preserve">Альметьевск/Татарстан </t>
  </si>
  <si>
    <t>80,0</t>
  </si>
  <si>
    <t>85,0</t>
  </si>
  <si>
    <t>87,5</t>
  </si>
  <si>
    <t>87.50</t>
  </si>
  <si>
    <t>ВЕСОВАЯ КАТЕГОРИЯ   67.5</t>
  </si>
  <si>
    <t>Абдуллоев Абдумалик</t>
  </si>
  <si>
    <t>Teen 13-15 (16.06.2001)/14</t>
  </si>
  <si>
    <t>66,50</t>
  </si>
  <si>
    <t xml:space="preserve">Таджикистан </t>
  </si>
  <si>
    <t xml:space="preserve">Душанбе </t>
  </si>
  <si>
    <t>70,0</t>
  </si>
  <si>
    <t>90,0</t>
  </si>
  <si>
    <t>80.00</t>
  </si>
  <si>
    <t>Гафурионов Шерзод</t>
  </si>
  <si>
    <t>Teen 16-17 (15.09.1998)/17</t>
  </si>
  <si>
    <t>67,40</t>
  </si>
  <si>
    <t>95,0</t>
  </si>
  <si>
    <t>90.00</t>
  </si>
  <si>
    <t>Ванчурин Михаил</t>
  </si>
  <si>
    <t>Juniors 20-23 (29.08.1993)/22</t>
  </si>
  <si>
    <t>65,60</t>
  </si>
  <si>
    <t>127,5</t>
  </si>
  <si>
    <t>127.50</t>
  </si>
  <si>
    <t>Дамбинов Александр</t>
  </si>
  <si>
    <t>Masters 80up (12.03.1936)/80</t>
  </si>
  <si>
    <t>66,35</t>
  </si>
  <si>
    <t xml:space="preserve">Калмыкия </t>
  </si>
  <si>
    <t xml:space="preserve">Элиста/Калмыкия </t>
  </si>
  <si>
    <t>75,0</t>
  </si>
  <si>
    <t>70.00</t>
  </si>
  <si>
    <t>ВЕСОВАЯ КАТЕГОРИЯ   75</t>
  </si>
  <si>
    <t>Муселимян Андраник</t>
  </si>
  <si>
    <t>Open (07.07.1989)/26</t>
  </si>
  <si>
    <t>70,85</t>
  </si>
  <si>
    <t xml:space="preserve">Свердловская область </t>
  </si>
  <si>
    <t xml:space="preserve">Екатеринбург/Свердловская область </t>
  </si>
  <si>
    <t>107,5</t>
  </si>
  <si>
    <t>110,0</t>
  </si>
  <si>
    <t>110.00</t>
  </si>
  <si>
    <t>Мирзоев Мубариз</t>
  </si>
  <si>
    <t>Open (01.10.1978)/37</t>
  </si>
  <si>
    <t>71,10</t>
  </si>
  <si>
    <t xml:space="preserve">Азербайджан </t>
  </si>
  <si>
    <t xml:space="preserve">Баку </t>
  </si>
  <si>
    <t>100,0</t>
  </si>
  <si>
    <t>100.00</t>
  </si>
  <si>
    <t>Ильин Александр</t>
  </si>
  <si>
    <t>Masters 50-54 (30.04.1966)/50</t>
  </si>
  <si>
    <t>74,15</t>
  </si>
  <si>
    <t>97,5</t>
  </si>
  <si>
    <t>102,5</t>
  </si>
  <si>
    <t>ВЕСОВАЯ КАТЕГОРИЯ   82.5</t>
  </si>
  <si>
    <t>Шевченко Алексей</t>
  </si>
  <si>
    <t>Juniors 20-23 (19.12.1994)/21</t>
  </si>
  <si>
    <t>80,40</t>
  </si>
  <si>
    <t>140,0</t>
  </si>
  <si>
    <t>147,5</t>
  </si>
  <si>
    <t>140.00</t>
  </si>
  <si>
    <t>Кобызов Константин</t>
  </si>
  <si>
    <t>Open (08.11.1985)/30</t>
  </si>
  <si>
    <t>82,20</t>
  </si>
  <si>
    <t xml:space="preserve">Арамиль/Свердловская область </t>
  </si>
  <si>
    <t>170,0</t>
  </si>
  <si>
    <t>175,0</t>
  </si>
  <si>
    <t>180,0</t>
  </si>
  <si>
    <t>180.00</t>
  </si>
  <si>
    <t>Чернявский Тимофей</t>
  </si>
  <si>
    <t>Open (08.09.1985)/30</t>
  </si>
  <si>
    <t>79,10</t>
  </si>
  <si>
    <t>172,5</t>
  </si>
  <si>
    <t>172.50</t>
  </si>
  <si>
    <t>Левцов Дмитрий</t>
  </si>
  <si>
    <t>Open (11.02.1981)/35</t>
  </si>
  <si>
    <t>82,10</t>
  </si>
  <si>
    <t xml:space="preserve">Новосибирская область </t>
  </si>
  <si>
    <t xml:space="preserve">Новосибирск/Новосибирская область </t>
  </si>
  <si>
    <t>165,0</t>
  </si>
  <si>
    <t>Стороженко Николай</t>
  </si>
  <si>
    <t>Open (21.08.1979)/36</t>
  </si>
  <si>
    <t>81,40</t>
  </si>
  <si>
    <t xml:space="preserve">Лично </t>
  </si>
  <si>
    <t>155,0</t>
  </si>
  <si>
    <t>160,0</t>
  </si>
  <si>
    <t>155.00</t>
  </si>
  <si>
    <t>Погосов Левон</t>
  </si>
  <si>
    <t>Open (12.06.1982)/33</t>
  </si>
  <si>
    <t>76,20</t>
  </si>
  <si>
    <t>145,0</t>
  </si>
  <si>
    <t>150,0</t>
  </si>
  <si>
    <t>145.00</t>
  </si>
  <si>
    <t>Умаров Ахмадион</t>
  </si>
  <si>
    <t>Open (23.02.1991)/25</t>
  </si>
  <si>
    <t>82,50</t>
  </si>
  <si>
    <t>130,0</t>
  </si>
  <si>
    <t>130.00</t>
  </si>
  <si>
    <t>Ахметшин Азат</t>
  </si>
  <si>
    <t>Open (17.03.1983)/33</t>
  </si>
  <si>
    <t>81,50</t>
  </si>
  <si>
    <t>Фаттахов Ришат</t>
  </si>
  <si>
    <t>Masters 45-49 (08.05.1967)/49</t>
  </si>
  <si>
    <t>82,30</t>
  </si>
  <si>
    <t>160.00</t>
  </si>
  <si>
    <t>Хусаинов Руслан</t>
  </si>
  <si>
    <t>Masters 50-54 (27.06.1963)/52</t>
  </si>
  <si>
    <t>79,45</t>
  </si>
  <si>
    <t>105,0</t>
  </si>
  <si>
    <t>Рогач Владимир</t>
  </si>
  <si>
    <t>Masters 60-64 (19.09.1955)/60</t>
  </si>
  <si>
    <t>81,65</t>
  </si>
  <si>
    <t xml:space="preserve">Словакия </t>
  </si>
  <si>
    <t xml:space="preserve">Братислава </t>
  </si>
  <si>
    <t>Дворкин Леонид</t>
  </si>
  <si>
    <t>Masters 75-79 (23.01.1941)/75</t>
  </si>
  <si>
    <t>79,00</t>
  </si>
  <si>
    <t>107.50</t>
  </si>
  <si>
    <t>ВЕСОВАЯ КАТЕГОРИЯ   90</t>
  </si>
  <si>
    <t>Рубанов Иван</t>
  </si>
  <si>
    <t>Juniors 20-23 (01.01.1995)/21</t>
  </si>
  <si>
    <t>88,45</t>
  </si>
  <si>
    <t>125,0</t>
  </si>
  <si>
    <t>135,0</t>
  </si>
  <si>
    <t>125.00</t>
  </si>
  <si>
    <t>Рубанов Юрий</t>
  </si>
  <si>
    <t>Open (28.11.1967)/48</t>
  </si>
  <si>
    <t>89,15</t>
  </si>
  <si>
    <t>182,5</t>
  </si>
  <si>
    <t>185,0</t>
  </si>
  <si>
    <t>182.50</t>
  </si>
  <si>
    <t>Анисимов Василий</t>
  </si>
  <si>
    <t>Open (15.12.1982)/33</t>
  </si>
  <si>
    <t>88,70</t>
  </si>
  <si>
    <t>177,5</t>
  </si>
  <si>
    <t>175.00</t>
  </si>
  <si>
    <t>Хромов Роман</t>
  </si>
  <si>
    <t>Open (26.06.1989)/26</t>
  </si>
  <si>
    <t>84,70</t>
  </si>
  <si>
    <t>162,5</t>
  </si>
  <si>
    <t>165.00</t>
  </si>
  <si>
    <t>Ковалёв Павел</t>
  </si>
  <si>
    <t>Open (11.01.1982)/34</t>
  </si>
  <si>
    <t>89,40</t>
  </si>
  <si>
    <t>Струнин Максим</t>
  </si>
  <si>
    <t>Open (13.09.1990)/25</t>
  </si>
  <si>
    <t>86,15</t>
  </si>
  <si>
    <t xml:space="preserve">Челябинская область </t>
  </si>
  <si>
    <t xml:space="preserve">Челябинск/Челябинская область </t>
  </si>
  <si>
    <t>Пятков Климентий</t>
  </si>
  <si>
    <t>Open (28.03.1987)/29</t>
  </si>
  <si>
    <t>87,85</t>
  </si>
  <si>
    <t>137,5</t>
  </si>
  <si>
    <t>135.00</t>
  </si>
  <si>
    <t>Урмонов Баходур</t>
  </si>
  <si>
    <t>Open (12.07.1989)/26</t>
  </si>
  <si>
    <t>85,00</t>
  </si>
  <si>
    <t>Masters 45-49 (28.11.1967)/48</t>
  </si>
  <si>
    <t>Гумаров Дилюс</t>
  </si>
  <si>
    <t>Masters 55-59 (16.10.1960)/55</t>
  </si>
  <si>
    <t>89,80</t>
  </si>
  <si>
    <t>112,5</t>
  </si>
  <si>
    <t>112.50</t>
  </si>
  <si>
    <t>ВЕСОВАЯ КАТЕГОРИЯ   100</t>
  </si>
  <si>
    <t>Урнежюс Гражвидас</t>
  </si>
  <si>
    <t>Juniors 20-23 (11.06.1992)/23</t>
  </si>
  <si>
    <t>99,10</t>
  </si>
  <si>
    <t>Инапшба Рашид</t>
  </si>
  <si>
    <t>Juniors 20-23 (16.08.1995)/20</t>
  </si>
  <si>
    <t>99,50</t>
  </si>
  <si>
    <t>162.50</t>
  </si>
  <si>
    <t>Сафонов Александр</t>
  </si>
  <si>
    <t>Open (18.02.1976)/40</t>
  </si>
  <si>
    <t>94,30</t>
  </si>
  <si>
    <t>157,5</t>
  </si>
  <si>
    <t>157.50</t>
  </si>
  <si>
    <t>Пирогов Кирилл</t>
  </si>
  <si>
    <t>Open (27.06.1979)/36</t>
  </si>
  <si>
    <t>99,90</t>
  </si>
  <si>
    <t xml:space="preserve">Каменск-Уральский/Свердловская область </t>
  </si>
  <si>
    <t>Гаджиев Эльнур</t>
  </si>
  <si>
    <t>Open (27.03.1984)/32</t>
  </si>
  <si>
    <t>91,15</t>
  </si>
  <si>
    <t>120.00</t>
  </si>
  <si>
    <t>Masters 40-44 (18.02.1976)/40</t>
  </si>
  <si>
    <t>Казанцев Иван</t>
  </si>
  <si>
    <t>Masters 45-49 (29.09.1967)/48</t>
  </si>
  <si>
    <t>98,65</t>
  </si>
  <si>
    <t xml:space="preserve">Камышлов/Свердловская область </t>
  </si>
  <si>
    <t>167,5</t>
  </si>
  <si>
    <t>ВЕСОВАЯ КАТЕГОРИЯ   110</t>
  </si>
  <si>
    <t>Гянджали Исмаил</t>
  </si>
  <si>
    <t>Open (01.01.1985)/31</t>
  </si>
  <si>
    <t>104,20</t>
  </si>
  <si>
    <t>195,0</t>
  </si>
  <si>
    <t>185.00</t>
  </si>
  <si>
    <t>Кобельков Артём</t>
  </si>
  <si>
    <t>Open (26.10.1990)/25</t>
  </si>
  <si>
    <t>108,00</t>
  </si>
  <si>
    <t>Акентьев Валерий</t>
  </si>
  <si>
    <t>Masters 55-59 (13.03.1958)/58</t>
  </si>
  <si>
    <t>106,00</t>
  </si>
  <si>
    <t xml:space="preserve">Коми </t>
  </si>
  <si>
    <t xml:space="preserve">Ухта/Коми </t>
  </si>
  <si>
    <t>ВЕСОВАЯ КАТЕГОРИЯ   125</t>
  </si>
  <si>
    <t>Гаврилов Вадим</t>
  </si>
  <si>
    <t>Masters 40-44 (21.12.1973)/42</t>
  </si>
  <si>
    <t>118,50</t>
  </si>
  <si>
    <t>Каримов Владислав</t>
  </si>
  <si>
    <t>Masters 40-44 (19.04.1975)/41</t>
  </si>
  <si>
    <t>125,00</t>
  </si>
  <si>
    <t xml:space="preserve">Башкортостан </t>
  </si>
  <si>
    <t xml:space="preserve">Кумертау/Башкортостан </t>
  </si>
  <si>
    <t>170.00</t>
  </si>
  <si>
    <t>Симоненко Владимир</t>
  </si>
  <si>
    <t>Masters 55-59 (02.09.1960)/55</t>
  </si>
  <si>
    <t>121,95</t>
  </si>
  <si>
    <t>152,5</t>
  </si>
  <si>
    <t>ВЕСОВАЯ КАТЕГОРИЯ   140+</t>
  </si>
  <si>
    <t>Панов Максим</t>
  </si>
  <si>
    <t>Open (30.05.1981)/35</t>
  </si>
  <si>
    <t>150,60</t>
  </si>
  <si>
    <t>205,0</t>
  </si>
  <si>
    <t>210,0</t>
  </si>
  <si>
    <t>210.00</t>
  </si>
  <si>
    <t>Хазарьян Ашот</t>
  </si>
  <si>
    <t>Open (23.06.1980)/35</t>
  </si>
  <si>
    <t>144,30</t>
  </si>
  <si>
    <t>167.50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</si>
  <si>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</si>
  <si>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</si>
  <si>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</si>
  <si>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</si>
  <si>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</si>
  <si>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</si>
  <si>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</si>
  <si>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</si>
  <si>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</si>
  <si>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</si>
  <si>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</si>
  <si>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</si>
  <si>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</si>
  <si>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52 </t>
  </si>
  <si>
    <t>67,6654</t>
  </si>
  <si>
    <t xml:space="preserve">60 </t>
  </si>
  <si>
    <t>58,5390</t>
  </si>
  <si>
    <t xml:space="preserve">48 </t>
  </si>
  <si>
    <t>51,8950</t>
  </si>
  <si>
    <t xml:space="preserve">56 </t>
  </si>
  <si>
    <t>47,4836</t>
  </si>
  <si>
    <t>46,4811</t>
  </si>
  <si>
    <t xml:space="preserve">Мастера </t>
  </si>
  <si>
    <t xml:space="preserve">Мастера 40 - 44 </t>
  </si>
  <si>
    <t>54,0812</t>
  </si>
  <si>
    <t xml:space="preserve">Мастера 50 - 54 </t>
  </si>
  <si>
    <t>35,2019</t>
  </si>
  <si>
    <t xml:space="preserve">Мужчины </t>
  </si>
  <si>
    <t xml:space="preserve">Юноши </t>
  </si>
  <si>
    <t xml:space="preserve">Юноши 13 - 15 </t>
  </si>
  <si>
    <t xml:space="preserve">67.5 </t>
  </si>
  <si>
    <t>72,3929</t>
  </si>
  <si>
    <t xml:space="preserve">Юноши 16 - 17 </t>
  </si>
  <si>
    <t>70,6450</t>
  </si>
  <si>
    <t>53,8002</t>
  </si>
  <si>
    <t>32,3072</t>
  </si>
  <si>
    <t xml:space="preserve">Юниоры </t>
  </si>
  <si>
    <t xml:space="preserve">Юниоры 20 - 23 </t>
  </si>
  <si>
    <t xml:space="preserve">100 </t>
  </si>
  <si>
    <t>101,5247</t>
  </si>
  <si>
    <t>95,9374</t>
  </si>
  <si>
    <t>94,7319</t>
  </si>
  <si>
    <t>92,9433</t>
  </si>
  <si>
    <t xml:space="preserve">82.5 </t>
  </si>
  <si>
    <t>90,0640</t>
  </si>
  <si>
    <t xml:space="preserve">90 </t>
  </si>
  <si>
    <t>75,4290</t>
  </si>
  <si>
    <t>111,7620</t>
  </si>
  <si>
    <t>110,0895</t>
  </si>
  <si>
    <t>107,4377</t>
  </si>
  <si>
    <t>107,1915</t>
  </si>
  <si>
    <t xml:space="preserve">140+ </t>
  </si>
  <si>
    <t>103,4040</t>
  </si>
  <si>
    <t>103,3375</t>
  </si>
  <si>
    <t xml:space="preserve">110 </t>
  </si>
  <si>
    <t>100,8620</t>
  </si>
  <si>
    <t>100,3695</t>
  </si>
  <si>
    <t>96,9705</t>
  </si>
  <si>
    <t>96,8905</t>
  </si>
  <si>
    <t>95,1635</t>
  </si>
  <si>
    <t>93,2402</t>
  </si>
  <si>
    <t>89,7908</t>
  </si>
  <si>
    <t>86,2560</t>
  </si>
  <si>
    <t>85,9165</t>
  </si>
  <si>
    <t>83,5440</t>
  </si>
  <si>
    <t>80,5090</t>
  </si>
  <si>
    <t>80,2035</t>
  </si>
  <si>
    <t xml:space="preserve">75 </t>
  </si>
  <si>
    <t>76,5560</t>
  </si>
  <si>
    <t>69,7200</t>
  </si>
  <si>
    <t>69,3854</t>
  </si>
  <si>
    <t>62,4600</t>
  </si>
  <si>
    <t xml:space="preserve">Мастера 75 - 79 </t>
  </si>
  <si>
    <t>143,0417</t>
  </si>
  <si>
    <t xml:space="preserve">Мастера 55 - 59 </t>
  </si>
  <si>
    <t>133,1398</t>
  </si>
  <si>
    <t xml:space="preserve">Мастера 45 - 49 </t>
  </si>
  <si>
    <t>120,0080</t>
  </si>
  <si>
    <t xml:space="preserve">125 </t>
  </si>
  <si>
    <t>115,9090</t>
  </si>
  <si>
    <t>113,5397</t>
  </si>
  <si>
    <t xml:space="preserve">Мастера 60 - 64 </t>
  </si>
  <si>
    <t>112,8766</t>
  </si>
  <si>
    <t xml:space="preserve">Мастера 80+ </t>
  </si>
  <si>
    <t>107,7492</t>
  </si>
  <si>
    <t>107,4012</t>
  </si>
  <si>
    <t>98,6151</t>
  </si>
  <si>
    <t>90,9920</t>
  </si>
  <si>
    <t>88,8357</t>
  </si>
  <si>
    <t>86,8833</t>
  </si>
  <si>
    <t>78,6438</t>
  </si>
  <si>
    <t>76,9045</t>
  </si>
  <si>
    <t>Чемпионат Евразийского Союза "Олимпия-3" Любители жим лежа в экипировке
01 - 05.Июнь.2016</t>
  </si>
  <si>
    <t>Присед</t>
  </si>
  <si>
    <t>Тяга</t>
  </si>
  <si>
    <t>Оруджова Лидия</t>
  </si>
  <si>
    <t>Juniors 20-23 (15.07.1995)/20</t>
  </si>
  <si>
    <t>60,00</t>
  </si>
  <si>
    <t>95.00</t>
  </si>
  <si>
    <t>Галлямов Айнур</t>
  </si>
  <si>
    <t>Open (24.05.1976)/40</t>
  </si>
  <si>
    <t>73,40</t>
  </si>
  <si>
    <t>190,0</t>
  </si>
  <si>
    <t>200,0</t>
  </si>
  <si>
    <t>200.00</t>
  </si>
  <si>
    <t>195.00</t>
  </si>
  <si>
    <t>Open (16.10.1960)/55</t>
  </si>
  <si>
    <t>Дубровин Виталий</t>
  </si>
  <si>
    <t>Open (06.08.1982)/33</t>
  </si>
  <si>
    <t>89,50</t>
  </si>
  <si>
    <t>240,0</t>
  </si>
  <si>
    <t>250,0</t>
  </si>
  <si>
    <t>260,0</t>
  </si>
  <si>
    <t>Тункин Вячеслав</t>
  </si>
  <si>
    <t>Open (12.06.1980)/35</t>
  </si>
  <si>
    <t xml:space="preserve">Казахстан </t>
  </si>
  <si>
    <t xml:space="preserve">Темиртау/Карагандинская </t>
  </si>
  <si>
    <t>230,0</t>
  </si>
  <si>
    <t>237,5</t>
  </si>
  <si>
    <t>237.50</t>
  </si>
  <si>
    <t>Лукьянов Артём</t>
  </si>
  <si>
    <t>Open (02.04.1983)/33</t>
  </si>
  <si>
    <t>91,85</t>
  </si>
  <si>
    <t>192,5</t>
  </si>
  <si>
    <t>205.00</t>
  </si>
  <si>
    <t>220,0</t>
  </si>
  <si>
    <t>235,0</t>
  </si>
  <si>
    <t>235.00</t>
  </si>
  <si>
    <t>Чекачков Андрей</t>
  </si>
  <si>
    <t>Open (08.07.1980)/35</t>
  </si>
  <si>
    <t>110,90</t>
  </si>
  <si>
    <t>Чекачков Александр</t>
  </si>
  <si>
    <t>Masters 45-49 (18.02.1971)/45</t>
  </si>
  <si>
    <t>120,90</t>
  </si>
  <si>
    <t>Маммадов Исрафил</t>
  </si>
  <si>
    <t>Open (02.08.1976)/39</t>
  </si>
  <si>
    <t>153,00</t>
  </si>
  <si>
    <t>262,5</t>
  </si>
  <si>
    <t>220.00</t>
  </si>
  <si>
    <t>88,6727</t>
  </si>
  <si>
    <t>Чемпионат Евразийского Союза "Олимпия-3" ПРО жим лежа без экипировки
01 - 05.Июнь.2016</t>
  </si>
  <si>
    <t>ВЕСОВАЯ КАТЕГОРИЯ   44</t>
  </si>
  <si>
    <t>Куликова Ольга</t>
  </si>
  <si>
    <t>Teen 13-15 (18.04.2005)/11</t>
  </si>
  <si>
    <t>37,70</t>
  </si>
  <si>
    <t>22.50</t>
  </si>
  <si>
    <t>Дементьева Снежана</t>
  </si>
  <si>
    <t>Teen 16-17 (01.03.2000)/16</t>
  </si>
  <si>
    <t>64,50</t>
  </si>
  <si>
    <t>60.00</t>
  </si>
  <si>
    <t>Разкевич Юлия</t>
  </si>
  <si>
    <t>Juniors 20-23 (08.11.1992)/23</t>
  </si>
  <si>
    <t>61,10</t>
  </si>
  <si>
    <t xml:space="preserve">Ставропольский край </t>
  </si>
  <si>
    <t xml:space="preserve">Минеральные Воды/Ставропольский край </t>
  </si>
  <si>
    <t>Мелехонова Оксана</t>
  </si>
  <si>
    <t>Open (04.06.1978)/37</t>
  </si>
  <si>
    <t>89,10</t>
  </si>
  <si>
    <t>Белоусов Роман</t>
  </si>
  <si>
    <t>Open (19.10.1991)/24</t>
  </si>
  <si>
    <t>Грабовой Данил</t>
  </si>
  <si>
    <t>Teen 13-15 (02.01.2001)/15</t>
  </si>
  <si>
    <t>58,55</t>
  </si>
  <si>
    <t>55,0</t>
  </si>
  <si>
    <t>55.00</t>
  </si>
  <si>
    <t>Кащенко Олег</t>
  </si>
  <si>
    <t>Teen 18-19 (30.10.1996)/19</t>
  </si>
  <si>
    <t>Ворона Роман</t>
  </si>
  <si>
    <t>Juniors 20-23 (29.06.1995)/20</t>
  </si>
  <si>
    <t>66,80</t>
  </si>
  <si>
    <t>Open (29.06.1995)/20</t>
  </si>
  <si>
    <t>Шихов Илья</t>
  </si>
  <si>
    <t>Teen 18-19 (11.06.1996)/19</t>
  </si>
  <si>
    <t>68,95</t>
  </si>
  <si>
    <t xml:space="preserve">Кировская область </t>
  </si>
  <si>
    <t xml:space="preserve">Киров/Кировская область </t>
  </si>
  <si>
    <t>Письменный Сергей</t>
  </si>
  <si>
    <t>Masters 60-64 (12.12.1952)/63</t>
  </si>
  <si>
    <t>74,10</t>
  </si>
  <si>
    <t>Афонин Владимир</t>
  </si>
  <si>
    <t>Masters 70-74 (09.06.1945)/70</t>
  </si>
  <si>
    <t>68,55</t>
  </si>
  <si>
    <t xml:space="preserve">Санкт-Петербург </t>
  </si>
  <si>
    <t>92,5</t>
  </si>
  <si>
    <t>92.50</t>
  </si>
  <si>
    <t>Фурсов Дмитрий</t>
  </si>
  <si>
    <t>Open (08.08.1991)/24</t>
  </si>
  <si>
    <t>81,75</t>
  </si>
  <si>
    <t>Нагибин Станислав</t>
  </si>
  <si>
    <t>Teen 18-19 (17.09.1996)/19</t>
  </si>
  <si>
    <t>90,00</t>
  </si>
  <si>
    <t>Стасюк Артём</t>
  </si>
  <si>
    <t>Juniors 20-23 (30.05.1993)/23</t>
  </si>
  <si>
    <t>88,00</t>
  </si>
  <si>
    <t>212,5</t>
  </si>
  <si>
    <t>Журавлёв Артём</t>
  </si>
  <si>
    <t>Juniors 20-23 (05.08.1992)/23</t>
  </si>
  <si>
    <t>88,90</t>
  </si>
  <si>
    <t xml:space="preserve">Ростовская область </t>
  </si>
  <si>
    <t xml:space="preserve">Шахты/Ростовская область </t>
  </si>
  <si>
    <t>Бочаев Асхаб</t>
  </si>
  <si>
    <t>Juniors 20-23 (04.11.1992)/23</t>
  </si>
  <si>
    <t>88,10</t>
  </si>
  <si>
    <t xml:space="preserve">Чечня </t>
  </si>
  <si>
    <t xml:space="preserve">Урус-Мартан/Чечня </t>
  </si>
  <si>
    <t>202,5</t>
  </si>
  <si>
    <t>Open (30.05.1993)/23</t>
  </si>
  <si>
    <t>Гафаров Камиль</t>
  </si>
  <si>
    <t>Open (23.03.1984)/32</t>
  </si>
  <si>
    <t>89,00</t>
  </si>
  <si>
    <t>Цыплаков Андрей</t>
  </si>
  <si>
    <t>Open (05.01.1987)/29</t>
  </si>
  <si>
    <t xml:space="preserve">Камчатский край </t>
  </si>
  <si>
    <t xml:space="preserve">Петропавловск-Камчатский/Камчатский край </t>
  </si>
  <si>
    <t>Ходунов Сергей</t>
  </si>
  <si>
    <t>Open (23.10.1968)/47</t>
  </si>
  <si>
    <t>88,15</t>
  </si>
  <si>
    <t xml:space="preserve">Кореновск </t>
  </si>
  <si>
    <t xml:space="preserve">Кореновск/Краснодарский край </t>
  </si>
  <si>
    <t>Якушин Андрей</t>
  </si>
  <si>
    <t>Masters 40-44 (19.12.1973)/42</t>
  </si>
  <si>
    <t>88,75</t>
  </si>
  <si>
    <t>177.50</t>
  </si>
  <si>
    <t>Masters 45-49 (23.10.1968)/47</t>
  </si>
  <si>
    <t>Сизых Михаил</t>
  </si>
  <si>
    <t>Masters 50-54 (17.06.1962)/53</t>
  </si>
  <si>
    <t>Фадеев Андрей</t>
  </si>
  <si>
    <t>Teen 16-17 (28.03.1999)/17</t>
  </si>
  <si>
    <t>94,50</t>
  </si>
  <si>
    <t xml:space="preserve">Владимирская область </t>
  </si>
  <si>
    <t xml:space="preserve">Муром/Владимирская область </t>
  </si>
  <si>
    <t>150.00</t>
  </si>
  <si>
    <t>Семёнов Даниэль</t>
  </si>
  <si>
    <t>Open (27.05.1992)/24</t>
  </si>
  <si>
    <t>97,70</t>
  </si>
  <si>
    <t>215,0</t>
  </si>
  <si>
    <t>Кирлица Антон</t>
  </si>
  <si>
    <t>Open (26.06.1984)/31</t>
  </si>
  <si>
    <t>94,45</t>
  </si>
  <si>
    <t>Карякин Евгений</t>
  </si>
  <si>
    <t>Open (17.01.1979)/37</t>
  </si>
  <si>
    <t>Кожанов Константин</t>
  </si>
  <si>
    <t>Open (16.11.1983)/32</t>
  </si>
  <si>
    <t>Путилов Эдуард</t>
  </si>
  <si>
    <t>Masters 40-44 (24.03.1976)/40</t>
  </si>
  <si>
    <t>97,45</t>
  </si>
  <si>
    <t xml:space="preserve">Серов/Свердловская область </t>
  </si>
  <si>
    <t>Максименко Андрей</t>
  </si>
  <si>
    <t>Masters 40-44 (03.10.1972)/43</t>
  </si>
  <si>
    <t>96,80</t>
  </si>
  <si>
    <t>Бязров Гамлет</t>
  </si>
  <si>
    <t>Masters 45-49 (11.11.1969)/46</t>
  </si>
  <si>
    <t>96,70</t>
  </si>
  <si>
    <t>Третьяков Юрий</t>
  </si>
  <si>
    <t>Masters 50-54 (03.05.1963)/53</t>
  </si>
  <si>
    <t>96,60</t>
  </si>
  <si>
    <t>Кривчиков Алексей</t>
  </si>
  <si>
    <t>Masters 65-69 (19.07.1948)/67</t>
  </si>
  <si>
    <t>91,75</t>
  </si>
  <si>
    <t xml:space="preserve">Украина </t>
  </si>
  <si>
    <t xml:space="preserve">Киев/Киевская </t>
  </si>
  <si>
    <t>Власенко Радион</t>
  </si>
  <si>
    <t>Teen 16-17 (11.06.1999)/16</t>
  </si>
  <si>
    <t>107,10</t>
  </si>
  <si>
    <t>Тюрин Дмитрий</t>
  </si>
  <si>
    <t>Open (14.06.1988)/27</t>
  </si>
  <si>
    <t>105,90</t>
  </si>
  <si>
    <t xml:space="preserve">Краснодар </t>
  </si>
  <si>
    <t xml:space="preserve">Краснодар/Краснодарский край </t>
  </si>
  <si>
    <t>190.00</t>
  </si>
  <si>
    <t>Полутин Сергей</t>
  </si>
  <si>
    <t>Masters 40-44 (17.08.1975)/40</t>
  </si>
  <si>
    <t>109,90</t>
  </si>
  <si>
    <t>230.00</t>
  </si>
  <si>
    <t>Горбунов Вячеслав</t>
  </si>
  <si>
    <t>Masters 45-49 (20.12.1967)/48</t>
  </si>
  <si>
    <t>101,45</t>
  </si>
  <si>
    <t>Лукьянов Андрей</t>
  </si>
  <si>
    <t>Masters 45-49 (29.01.1969)/47</t>
  </si>
  <si>
    <t>105,35</t>
  </si>
  <si>
    <t>Грабовой Борис</t>
  </si>
  <si>
    <t>Masters 60-64 (23.01.1956)/60</t>
  </si>
  <si>
    <t>103,65</t>
  </si>
  <si>
    <t>132,5</t>
  </si>
  <si>
    <t>Мударов Тимур</t>
  </si>
  <si>
    <t>Open (19.08.1982)/33</t>
  </si>
  <si>
    <t>112,30</t>
  </si>
  <si>
    <t xml:space="preserve">Грозный/Чечня </t>
  </si>
  <si>
    <t>Акимов Алексей</t>
  </si>
  <si>
    <t>Open (14.10.1986)/29</t>
  </si>
  <si>
    <t>116,10</t>
  </si>
  <si>
    <t>Шигун Михаил</t>
  </si>
  <si>
    <t>Masters 55-59 (15.10.1959)/56</t>
  </si>
  <si>
    <t>117,40</t>
  </si>
  <si>
    <t>ВЕСОВАЯ КАТЕГОРИЯ   140</t>
  </si>
  <si>
    <t>Погас Максим</t>
  </si>
  <si>
    <t>Open (10.03.1985)/31</t>
  </si>
  <si>
    <t>135,15</t>
  </si>
  <si>
    <t>Гасанов Заур</t>
  </si>
  <si>
    <t>Open (10.09.1982)/33</t>
  </si>
  <si>
    <t>151,00</t>
  </si>
  <si>
    <t>245,0</t>
  </si>
  <si>
    <t>54,9180</t>
  </si>
  <si>
    <t xml:space="preserve">44 </t>
  </si>
  <si>
    <t>33,0384</t>
  </si>
  <si>
    <t>50,8740</t>
  </si>
  <si>
    <t>38,1450</t>
  </si>
  <si>
    <t xml:space="preserve">Юноши 18 - 19 </t>
  </si>
  <si>
    <t>112,6117</t>
  </si>
  <si>
    <t>92,2428</t>
  </si>
  <si>
    <t>91,5978</t>
  </si>
  <si>
    <t>76,0781</t>
  </si>
  <si>
    <t>74,0844</t>
  </si>
  <si>
    <t>54,1104</t>
  </si>
  <si>
    <t>124,6350</t>
  </si>
  <si>
    <t>120,7490</t>
  </si>
  <si>
    <t>114,9915</t>
  </si>
  <si>
    <t>109,7050</t>
  </si>
  <si>
    <t>126,8013</t>
  </si>
  <si>
    <t>120,8065</t>
  </si>
  <si>
    <t>120,3965</t>
  </si>
  <si>
    <t>117,5790</t>
  </si>
  <si>
    <t xml:space="preserve">140 </t>
  </si>
  <si>
    <t>117,0321</t>
  </si>
  <si>
    <t>108,2400</t>
  </si>
  <si>
    <t>106,7040</t>
  </si>
  <si>
    <t>103,0180</t>
  </si>
  <si>
    <t>102,5190</t>
  </si>
  <si>
    <t>99,7200</t>
  </si>
  <si>
    <t>97,3525</t>
  </si>
  <si>
    <t>96,7980</t>
  </si>
  <si>
    <t>94,2310</t>
  </si>
  <si>
    <t xml:space="preserve">Мастера 65 - 69 </t>
  </si>
  <si>
    <t>145,4235</t>
  </si>
  <si>
    <t>139,6270</t>
  </si>
  <si>
    <t xml:space="preserve">Мастера 70 - 74 </t>
  </si>
  <si>
    <t>136,5567</t>
  </si>
  <si>
    <t>129,8165</t>
  </si>
  <si>
    <t>126,7806</t>
  </si>
  <si>
    <t>123,4180</t>
  </si>
  <si>
    <t>116,8049</t>
  </si>
  <si>
    <t>116,5208</t>
  </si>
  <si>
    <t>106,1103</t>
  </si>
  <si>
    <t>105,7213</t>
  </si>
  <si>
    <t>102,3132</t>
  </si>
  <si>
    <t>102,2595</t>
  </si>
  <si>
    <t>92,5072</t>
  </si>
  <si>
    <t>86,5181</t>
  </si>
  <si>
    <t>83,0159</t>
  </si>
  <si>
    <t>Чемпионат Евразийского Союза "Олимпия-3" ПРО жим лежа в экипировке
01 - 05.Июнь.2016</t>
  </si>
  <si>
    <t>Алещенко Серафима</t>
  </si>
  <si>
    <t>Teen 18-19 (25.06.1997)/18</t>
  </si>
  <si>
    <t>59,85</t>
  </si>
  <si>
    <t>Батурина Алёна</t>
  </si>
  <si>
    <t>Juniors 20-23 (03.10.1994)/21</t>
  </si>
  <si>
    <t>105.00</t>
  </si>
  <si>
    <t>Погосян Степан</t>
  </si>
  <si>
    <t>Open (18.04.1985)/31</t>
  </si>
  <si>
    <t>82,85</t>
  </si>
  <si>
    <t xml:space="preserve">Туапсе </t>
  </si>
  <si>
    <t xml:space="preserve">Туапсе/Краснодарский край </t>
  </si>
  <si>
    <t>225,0</t>
  </si>
  <si>
    <t>Жулинский Олег</t>
  </si>
  <si>
    <t>Open (16.06.1980)/35</t>
  </si>
  <si>
    <t>97,50</t>
  </si>
  <si>
    <t>270,0</t>
  </si>
  <si>
    <t>260.00</t>
  </si>
  <si>
    <t>Винниченко Сергей</t>
  </si>
  <si>
    <t>Open (04.12.1974)/41</t>
  </si>
  <si>
    <t>92,10</t>
  </si>
  <si>
    <t>Пышминцев Николай</t>
  </si>
  <si>
    <t>Open (04.01.1981)/35</t>
  </si>
  <si>
    <t>124,00</t>
  </si>
  <si>
    <t>330,0</t>
  </si>
  <si>
    <t>350,0</t>
  </si>
  <si>
    <t>360,0</t>
  </si>
  <si>
    <t>330.00</t>
  </si>
  <si>
    <t>Чугунов Евгений</t>
  </si>
  <si>
    <t>Open (24.04.1983)/33</t>
  </si>
  <si>
    <t>118,25</t>
  </si>
  <si>
    <t>305,0</t>
  </si>
  <si>
    <t>310,0</t>
  </si>
  <si>
    <t>315,0</t>
  </si>
  <si>
    <t>305.00</t>
  </si>
  <si>
    <t xml:space="preserve">Самост </t>
  </si>
  <si>
    <t>Таловасов Анатолий</t>
  </si>
  <si>
    <t>Masters 55-59 (01.12.1960)/55</t>
  </si>
  <si>
    <t>114,10</t>
  </si>
  <si>
    <t xml:space="preserve">Адыгея </t>
  </si>
  <si>
    <t xml:space="preserve">Майкоп/Адыгея </t>
  </si>
  <si>
    <t>80,0247</t>
  </si>
  <si>
    <t>96,2309</t>
  </si>
  <si>
    <t>116,0239</t>
  </si>
  <si>
    <t>172,3920</t>
  </si>
  <si>
    <t>161,2078</t>
  </si>
  <si>
    <t>145,7300</t>
  </si>
  <si>
    <t>135,8390</t>
  </si>
  <si>
    <t>132,8250</t>
  </si>
  <si>
    <t>155,0103</t>
  </si>
  <si>
    <t>95,4767</t>
  </si>
  <si>
    <t>Чемпионат Евразийского Союза "Олимпия-3" ПРО пауэрлифтинг без экипировки
01 - 05.Июнь.2016</t>
  </si>
  <si>
    <t>Шиян Ксения</t>
  </si>
  <si>
    <t>Open (11.01.1984)/32</t>
  </si>
  <si>
    <t>51,45</t>
  </si>
  <si>
    <t>255.00</t>
  </si>
  <si>
    <t>Мухортова Нина</t>
  </si>
  <si>
    <t>Open (16.09.1966)/49</t>
  </si>
  <si>
    <t xml:space="preserve">Ставрополь/Ставропольский край </t>
  </si>
  <si>
    <t>340.00</t>
  </si>
  <si>
    <t xml:space="preserve">Самостоятельно </t>
  </si>
  <si>
    <t>Медведева Татьяна</t>
  </si>
  <si>
    <t>Juniors 20-23 (12.06.1995)/20</t>
  </si>
  <si>
    <t>61,30</t>
  </si>
  <si>
    <t>35,0</t>
  </si>
  <si>
    <t>40,0</t>
  </si>
  <si>
    <t>42,5</t>
  </si>
  <si>
    <t>Де-Симон Наталья</t>
  </si>
  <si>
    <t>Open (01.03.1990)/26</t>
  </si>
  <si>
    <t>66,25</t>
  </si>
  <si>
    <t>355.00</t>
  </si>
  <si>
    <t>Мирошникова Екатерина</t>
  </si>
  <si>
    <t>Open (19.11.1995)/20</t>
  </si>
  <si>
    <t>Емельянов Николай</t>
  </si>
  <si>
    <t>Masters 50-54 (30.12.1963)/52</t>
  </si>
  <si>
    <t>66,05</t>
  </si>
  <si>
    <t xml:space="preserve">Кемеровская область </t>
  </si>
  <si>
    <t xml:space="preserve">Ленинск-Кузнецкий/Кемеровская область </t>
  </si>
  <si>
    <t>385.00</t>
  </si>
  <si>
    <t>Супрун Максим</t>
  </si>
  <si>
    <t>Teen 16-17 (17.08.1998)/17</t>
  </si>
  <si>
    <t>74,60</t>
  </si>
  <si>
    <t>72,5</t>
  </si>
  <si>
    <t>142,5</t>
  </si>
  <si>
    <t>345.00</t>
  </si>
  <si>
    <t>Михайлёв Сергей</t>
  </si>
  <si>
    <t>Teen 18-19 (28.06.1996)/19</t>
  </si>
  <si>
    <t>495.00</t>
  </si>
  <si>
    <t>Марутян Виген</t>
  </si>
  <si>
    <t>Juniors 20-23 (03.05.1995)/21</t>
  </si>
  <si>
    <t>73,65</t>
  </si>
  <si>
    <t>Анохин Александр</t>
  </si>
  <si>
    <t>Open (14.12.1983)/32</t>
  </si>
  <si>
    <t>73,25</t>
  </si>
  <si>
    <t>420.00</t>
  </si>
  <si>
    <t>Конев Иван</t>
  </si>
  <si>
    <t>Teen 16-17 (30.01.1999)/17</t>
  </si>
  <si>
    <t>81,00</t>
  </si>
  <si>
    <t>390.00</t>
  </si>
  <si>
    <t>Жашуев Азамат</t>
  </si>
  <si>
    <t>Juniors 20-23 (06.05.1994)/22</t>
  </si>
  <si>
    <t>82,00</t>
  </si>
  <si>
    <t xml:space="preserve">Тырныауз/Кабардино-Балкария </t>
  </si>
  <si>
    <t>500.00</t>
  </si>
  <si>
    <t>Open (06.05.1994)/22</t>
  </si>
  <si>
    <t>Ивановский Григорий</t>
  </si>
  <si>
    <t>Open (01.06.1984)/32</t>
  </si>
  <si>
    <t>79,55</t>
  </si>
  <si>
    <t>470.00</t>
  </si>
  <si>
    <t>Тлевцежев Каплан</t>
  </si>
  <si>
    <t>Masters 60-64 (13.02.1956)/60</t>
  </si>
  <si>
    <t>497.50</t>
  </si>
  <si>
    <t>Кружалкин Виталий</t>
  </si>
  <si>
    <t>Juniors 20-23 (24.08.1995)/20</t>
  </si>
  <si>
    <t>87,75</t>
  </si>
  <si>
    <t>375.00</t>
  </si>
  <si>
    <t>Куликов Юрий</t>
  </si>
  <si>
    <t>Masters 55-59 (01.08.1959)/56</t>
  </si>
  <si>
    <t>89,55</t>
  </si>
  <si>
    <t>425.00</t>
  </si>
  <si>
    <t>Касимов Касим</t>
  </si>
  <si>
    <t>Juniors 20-23 (27.11.1993)/22</t>
  </si>
  <si>
    <t xml:space="preserve">Дагестан </t>
  </si>
  <si>
    <t xml:space="preserve">Дербент/Дагестан </t>
  </si>
  <si>
    <t>Шахов Андрей</t>
  </si>
  <si>
    <t>Juniors 20-23 (11.09.1993)/22</t>
  </si>
  <si>
    <t>97,00</t>
  </si>
  <si>
    <t>Абаев Асламбек</t>
  </si>
  <si>
    <t>Open (28.06.1959)/56</t>
  </si>
  <si>
    <t>94,65</t>
  </si>
  <si>
    <t xml:space="preserve">Северная Осетия </t>
  </si>
  <si>
    <t xml:space="preserve">Владикавказ/Северная Осетия - Алания </t>
  </si>
  <si>
    <t>285,0</t>
  </si>
  <si>
    <t>207,5</t>
  </si>
  <si>
    <t>265,0</t>
  </si>
  <si>
    <t>280,0</t>
  </si>
  <si>
    <t>772.50</t>
  </si>
  <si>
    <t>Ивненко Николай</t>
  </si>
  <si>
    <t>Open (21.06.1989)/26</t>
  </si>
  <si>
    <t>94,60</t>
  </si>
  <si>
    <t>657.50</t>
  </si>
  <si>
    <t>Кириндясов Андрей</t>
  </si>
  <si>
    <t>Open (20.03.1988)/28</t>
  </si>
  <si>
    <t xml:space="preserve">Астраханская область </t>
  </si>
  <si>
    <t xml:space="preserve">Астрахань/Астраханская область </t>
  </si>
  <si>
    <t>655.00</t>
  </si>
  <si>
    <t>Masters 55-59 (28.06.1959)/56</t>
  </si>
  <si>
    <t>Похватько Роман</t>
  </si>
  <si>
    <t>Juniors 20-23 (26.05.1995)/21</t>
  </si>
  <si>
    <t>102,30</t>
  </si>
  <si>
    <t>275,0</t>
  </si>
  <si>
    <t>760.00</t>
  </si>
  <si>
    <t>Ступин Сергей</t>
  </si>
  <si>
    <t>Open (11.01.1983)/33</t>
  </si>
  <si>
    <t>106,30</t>
  </si>
  <si>
    <t>320,0</t>
  </si>
  <si>
    <t>770.00</t>
  </si>
  <si>
    <t>Open (26.05.1995)/21</t>
  </si>
  <si>
    <t>Макаров Роман</t>
  </si>
  <si>
    <t>Open (08.03.1980)/36</t>
  </si>
  <si>
    <t>107,40</t>
  </si>
  <si>
    <t>247,5</t>
  </si>
  <si>
    <t>625.00</t>
  </si>
  <si>
    <t>Громов Евгений</t>
  </si>
  <si>
    <t>Open (18.08.1982)/33</t>
  </si>
  <si>
    <t>105,00</t>
  </si>
  <si>
    <t>580.00</t>
  </si>
  <si>
    <t>Козлов Алексей</t>
  </si>
  <si>
    <t>Masters 45-49 (19.05.1970)/46</t>
  </si>
  <si>
    <t>700.00</t>
  </si>
  <si>
    <t xml:space="preserve">Латышев В. </t>
  </si>
  <si>
    <t>Писаченко Олег</t>
  </si>
  <si>
    <t>Masters 50-54 (12.11.1965)/50</t>
  </si>
  <si>
    <t>227,5</t>
  </si>
  <si>
    <t>242,5</t>
  </si>
  <si>
    <t>255,0</t>
  </si>
  <si>
    <t>672.50</t>
  </si>
  <si>
    <t>Зайцев Александр</t>
  </si>
  <si>
    <t>Open (06.04.1980)/36</t>
  </si>
  <si>
    <t>122,75</t>
  </si>
  <si>
    <t>300,0</t>
  </si>
  <si>
    <t>340,0</t>
  </si>
  <si>
    <t>890.00</t>
  </si>
  <si>
    <t>Комков Александр</t>
  </si>
  <si>
    <t>Open (26.11.1983)/32</t>
  </si>
  <si>
    <t>118,30</t>
  </si>
  <si>
    <t xml:space="preserve">Приморский край </t>
  </si>
  <si>
    <t xml:space="preserve">Владивосток/Приморский край </t>
  </si>
  <si>
    <t>295,0</t>
  </si>
  <si>
    <t>765.00</t>
  </si>
  <si>
    <t>Шилов Егор</t>
  </si>
  <si>
    <t>Open (23.12.1996)/19</t>
  </si>
  <si>
    <t>121,70</t>
  </si>
  <si>
    <t xml:space="preserve">Бердск/Новосибирская область </t>
  </si>
  <si>
    <t>290,0</t>
  </si>
  <si>
    <t>755.00</t>
  </si>
  <si>
    <t>158,9517</t>
  </si>
  <si>
    <t>293,5560</t>
  </si>
  <si>
    <t>355,0</t>
  </si>
  <si>
    <t>281,0890</t>
  </si>
  <si>
    <t>249,3390</t>
  </si>
  <si>
    <t>172,8763</t>
  </si>
  <si>
    <t>495,0</t>
  </si>
  <si>
    <t>348,0048</t>
  </si>
  <si>
    <t>390,0</t>
  </si>
  <si>
    <t>264,2188</t>
  </si>
  <si>
    <t>345,0</t>
  </si>
  <si>
    <t>248,6360</t>
  </si>
  <si>
    <t>760,0</t>
  </si>
  <si>
    <t>425,5073</t>
  </si>
  <si>
    <t>340,3531</t>
  </si>
  <si>
    <t>500,0</t>
  </si>
  <si>
    <t>314,0595</t>
  </si>
  <si>
    <t>890,0</t>
  </si>
  <si>
    <t>466,4045</t>
  </si>
  <si>
    <t>772,5</t>
  </si>
  <si>
    <t>439,5139</t>
  </si>
  <si>
    <t>417,1640</t>
  </si>
  <si>
    <t>770,0</t>
  </si>
  <si>
    <t>417,0320</t>
  </si>
  <si>
    <t>765,0</t>
  </si>
  <si>
    <t>404,3025</t>
  </si>
  <si>
    <t>755,0</t>
  </si>
  <si>
    <t>396,6015</t>
  </si>
  <si>
    <t>657,5</t>
  </si>
  <si>
    <t>374,1833</t>
  </si>
  <si>
    <t>655,0</t>
  </si>
  <si>
    <t>366,7345</t>
  </si>
  <si>
    <t>625,0</t>
  </si>
  <si>
    <t>337,4375</t>
  </si>
  <si>
    <t>580,0</t>
  </si>
  <si>
    <t>315,3460</t>
  </si>
  <si>
    <t>310,9500</t>
  </si>
  <si>
    <t>470,0</t>
  </si>
  <si>
    <t>298,6850</t>
  </si>
  <si>
    <t>420,0</t>
  </si>
  <si>
    <t>284,3610</t>
  </si>
  <si>
    <t>628,5048</t>
  </si>
  <si>
    <t>497,5</t>
  </si>
  <si>
    <t>511,1648</t>
  </si>
  <si>
    <t>672,5</t>
  </si>
  <si>
    <t>423,2929</t>
  </si>
  <si>
    <t>700,0</t>
  </si>
  <si>
    <t>403,4085</t>
  </si>
  <si>
    <t>425,0</t>
  </si>
  <si>
    <t>356,8100</t>
  </si>
  <si>
    <t>385,0</t>
  </si>
  <si>
    <t>344,5837</t>
  </si>
  <si>
    <t>375,0</t>
  </si>
  <si>
    <t>282,1242</t>
  </si>
  <si>
    <t>Чемпионат Евразийского Союза "Олимпия-3" ПРО присед без экипировки
01 - 05.Июнь.2016</t>
  </si>
  <si>
    <t>82,7564</t>
  </si>
  <si>
    <t>Чемпионат Евразийского Союза "Олимпия-3" ПРО становая тяга без экипировки
01 - 05.Июнь.2016</t>
  </si>
  <si>
    <t>Кондратьева Анастасия</t>
  </si>
  <si>
    <t>Open (18.12.1995)/20</t>
  </si>
  <si>
    <t>55,10</t>
  </si>
  <si>
    <t>Феттаева Эльвира</t>
  </si>
  <si>
    <t>Open (29.08.1995)/20</t>
  </si>
  <si>
    <t>58,00</t>
  </si>
  <si>
    <t>Каланина Мария</t>
  </si>
  <si>
    <t>Open (29.03.1982)/34</t>
  </si>
  <si>
    <t>71,90</t>
  </si>
  <si>
    <t xml:space="preserve">Амурская область </t>
  </si>
  <si>
    <t xml:space="preserve">Благовещенск/Амурская область </t>
  </si>
  <si>
    <t>Старикова Наталья</t>
  </si>
  <si>
    <t>Open (13.09.1982)/33</t>
  </si>
  <si>
    <t>80,90</t>
  </si>
  <si>
    <t>66,30</t>
  </si>
  <si>
    <t>Смирнов Валерий</t>
  </si>
  <si>
    <t>Masters 55-59 (24.03.1959)/57</t>
  </si>
  <si>
    <t>75,00</t>
  </si>
  <si>
    <t>225.00</t>
  </si>
  <si>
    <t>215.00</t>
  </si>
  <si>
    <t>106,65</t>
  </si>
  <si>
    <t>280.00</t>
  </si>
  <si>
    <t>Икаев Сармат</t>
  </si>
  <si>
    <t>Teen 18-19 (08.11.1996)/19</t>
  </si>
  <si>
    <t>114,85</t>
  </si>
  <si>
    <t>250.00</t>
  </si>
  <si>
    <t>Open (08.11.1996)/19</t>
  </si>
  <si>
    <t>Дубровский Павел</t>
  </si>
  <si>
    <t>Masters 60-64 (04.05.1956)/60</t>
  </si>
  <si>
    <t>133,9470</t>
  </si>
  <si>
    <t>129,8080</t>
  </si>
  <si>
    <t>120,1460</t>
  </si>
  <si>
    <t>106,2840</t>
  </si>
  <si>
    <t>138,2030</t>
  </si>
  <si>
    <t>151,4940</t>
  </si>
  <si>
    <t>132,8875</t>
  </si>
  <si>
    <t>231,0476</t>
  </si>
  <si>
    <t>221,2785</t>
  </si>
  <si>
    <t>163,7918</t>
  </si>
  <si>
    <t>123,0925</t>
  </si>
  <si>
    <t>112,8497</t>
  </si>
  <si>
    <t>Чемпионат Евразийского Союза "Олимпия-3" ПРО пауэрлифтинг в экипировке
01 - 05.Июнь.2016</t>
  </si>
  <si>
    <t>Алисов Алексей</t>
  </si>
  <si>
    <t>Juniors 20-23 (30.06.1993)/22</t>
  </si>
  <si>
    <t>307,5</t>
  </si>
  <si>
    <t>312,5</t>
  </si>
  <si>
    <t>267,5</t>
  </si>
  <si>
    <t>272,5</t>
  </si>
  <si>
    <t>Крылов Артём</t>
  </si>
  <si>
    <t>Open (03.09.1990)/25</t>
  </si>
  <si>
    <t>89,85</t>
  </si>
  <si>
    <t>395,0</t>
  </si>
  <si>
    <t>400,0</t>
  </si>
  <si>
    <t>975.00</t>
  </si>
  <si>
    <t>Абдуллоев Фуркат</t>
  </si>
  <si>
    <t>Open (21.12.1981)/34</t>
  </si>
  <si>
    <t>815.00</t>
  </si>
  <si>
    <t>Митрофанов Павел</t>
  </si>
  <si>
    <t>Open (12.08.1983)/32</t>
  </si>
  <si>
    <t>98,45</t>
  </si>
  <si>
    <t xml:space="preserve">Горячий Ключ </t>
  </si>
  <si>
    <t xml:space="preserve">Горячий Ключ/Краснодарский край </t>
  </si>
  <si>
    <t>380,0</t>
  </si>
  <si>
    <t>920.00</t>
  </si>
  <si>
    <t>Минибаев Руслан</t>
  </si>
  <si>
    <t>Open (21.02.1985)/31</t>
  </si>
  <si>
    <t>108,80</t>
  </si>
  <si>
    <t xml:space="preserve">Салават/Башкортостан </t>
  </si>
  <si>
    <t>335,0</t>
  </si>
  <si>
    <t>332,5</t>
  </si>
  <si>
    <t>922.50</t>
  </si>
  <si>
    <t>Класс Александр</t>
  </si>
  <si>
    <t>Open (04.08.1991)/24</t>
  </si>
  <si>
    <t>102,00</t>
  </si>
  <si>
    <t>800.00</t>
  </si>
  <si>
    <t>Сыкменёв Александр</t>
  </si>
  <si>
    <t>Open (24.06.1978)/37</t>
  </si>
  <si>
    <t>362,5</t>
  </si>
  <si>
    <t>367,5</t>
  </si>
  <si>
    <t>1010.00</t>
  </si>
  <si>
    <t>Микао Михаил</t>
  </si>
  <si>
    <t>Open (29.04.1985)/31</t>
  </si>
  <si>
    <t>119,00</t>
  </si>
  <si>
    <t>Заманов Абдигали</t>
  </si>
  <si>
    <t>Masters 45-49 (05.09.1969)/46</t>
  </si>
  <si>
    <t>650.00</t>
  </si>
  <si>
    <t>513,4259</t>
  </si>
  <si>
    <t>975,0</t>
  </si>
  <si>
    <t>571,2525</t>
  </si>
  <si>
    <t>1010,0</t>
  </si>
  <si>
    <t>533,7850</t>
  </si>
  <si>
    <t>920,0</t>
  </si>
  <si>
    <t>513,3140</t>
  </si>
  <si>
    <t>922,5</t>
  </si>
  <si>
    <t>496,3050</t>
  </si>
  <si>
    <t>485,6680</t>
  </si>
  <si>
    <t>815,0</t>
  </si>
  <si>
    <t>482,1540</t>
  </si>
  <si>
    <t>800,0</t>
  </si>
  <si>
    <t>439,6000</t>
  </si>
  <si>
    <t>620,0413</t>
  </si>
  <si>
    <t>650,0</t>
  </si>
  <si>
    <t>362,9897</t>
  </si>
  <si>
    <t>Чемпионат Евразийского Союза "Олимпия-3" ПРО присед в экипировке
01 - 05.Июнь.2016</t>
  </si>
  <si>
    <t>310.00</t>
  </si>
  <si>
    <t>183,3960</t>
  </si>
  <si>
    <t>221,4433</t>
  </si>
  <si>
    <t>139,6114</t>
  </si>
  <si>
    <t>Чемпионат Евразийского Союза "Олимпия-3" ПРО становая тяга в экипировке
01 - 05.Июнь.2016</t>
  </si>
  <si>
    <t>Галактионова Маргарита</t>
  </si>
  <si>
    <t>Open (01.03.1991)/25</t>
  </si>
  <si>
    <t>51,75</t>
  </si>
  <si>
    <t>Сизов Андрей</t>
  </si>
  <si>
    <t>Masters 45-49 (29.01.1968)/48</t>
  </si>
  <si>
    <t>97,95</t>
  </si>
  <si>
    <t>300.00</t>
  </si>
  <si>
    <t xml:space="preserve">Низамиди В. </t>
  </si>
  <si>
    <t>150,8305</t>
  </si>
  <si>
    <t>180,4380</t>
  </si>
  <si>
    <t>164,8500</t>
  </si>
  <si>
    <t>250,9691</t>
  </si>
  <si>
    <t>187,4047</t>
  </si>
  <si>
    <t>Чемпионат Евразийского Союза "Олимпия-3" ПРО народный жим (1 вес)
01 - 05.Июнь.2016</t>
  </si>
  <si>
    <t>НАП Н.Ж.</t>
  </si>
  <si>
    <t>Чепкая Елена</t>
  </si>
  <si>
    <t>Open (28.02.1989)/27</t>
  </si>
  <si>
    <t>63,45</t>
  </si>
  <si>
    <t>13,0</t>
  </si>
  <si>
    <t>845.00</t>
  </si>
  <si>
    <t>Open (03.10.1994)/21</t>
  </si>
  <si>
    <t>62,00</t>
  </si>
  <si>
    <t>9,0</t>
  </si>
  <si>
    <t>562.50</t>
  </si>
  <si>
    <t>Дугин Павел</t>
  </si>
  <si>
    <t>Open (06.02.1978)/38</t>
  </si>
  <si>
    <t>68,20</t>
  </si>
  <si>
    <t>8,0</t>
  </si>
  <si>
    <t>560.00</t>
  </si>
  <si>
    <t>76,50</t>
  </si>
  <si>
    <t>38,0</t>
  </si>
  <si>
    <t>2945.00</t>
  </si>
  <si>
    <t>Васильев Евгений</t>
  </si>
  <si>
    <t>Open (02.12.1980)/35</t>
  </si>
  <si>
    <t>80,35</t>
  </si>
  <si>
    <t>82,5</t>
  </si>
  <si>
    <t>2475.00</t>
  </si>
  <si>
    <t>Умаров Ахмаджон</t>
  </si>
  <si>
    <t>18,0</t>
  </si>
  <si>
    <t>1485.00</t>
  </si>
  <si>
    <t>Дзугкоев Артур</t>
  </si>
  <si>
    <t>Open (12.07.1973)/42</t>
  </si>
  <si>
    <t>87,50</t>
  </si>
  <si>
    <t>3062.50</t>
  </si>
  <si>
    <t>Урмонов Бахадур</t>
  </si>
  <si>
    <t>33,0</t>
  </si>
  <si>
    <t>2805.00</t>
  </si>
  <si>
    <t>31,0</t>
  </si>
  <si>
    <t>2790.00</t>
  </si>
  <si>
    <t>89,05</t>
  </si>
  <si>
    <t>2700.00</t>
  </si>
  <si>
    <t xml:space="preserve">НАП Н.Ж. </t>
  </si>
  <si>
    <t>845,0</t>
  </si>
  <si>
    <t>769,1190</t>
  </si>
  <si>
    <t>562,5</t>
  </si>
  <si>
    <t>523,9688</t>
  </si>
  <si>
    <t>2945,0</t>
  </si>
  <si>
    <t>2402,2365</t>
  </si>
  <si>
    <t>3062,5</t>
  </si>
  <si>
    <t>2248,1812</t>
  </si>
  <si>
    <t>2805,0</t>
  </si>
  <si>
    <t>2119,7385</t>
  </si>
  <si>
    <t>2790,0</t>
  </si>
  <si>
    <t>2002,3830</t>
  </si>
  <si>
    <t>2700,0</t>
  </si>
  <si>
    <t>1947,5100</t>
  </si>
  <si>
    <t>2475,0</t>
  </si>
  <si>
    <t>1922,0850</t>
  </si>
  <si>
    <t>1485,0</t>
  </si>
  <si>
    <t>1123,2540</t>
  </si>
  <si>
    <t>560,0</t>
  </si>
  <si>
    <t>484,6800</t>
  </si>
  <si>
    <t>Чемпионат Евразийского Союза "Олимпия-3" ПРО народный жим (1/2 вес)
01 - 05.Июнь.2016</t>
  </si>
  <si>
    <t>Егорова Вероника</t>
  </si>
  <si>
    <t>Open (04.03.2007)/9</t>
  </si>
  <si>
    <t>25,00</t>
  </si>
  <si>
    <t>12,5</t>
  </si>
  <si>
    <t>2750.00</t>
  </si>
  <si>
    <t>Ешмакова Александра</t>
  </si>
  <si>
    <t>Open (28.02.2001)/15</t>
  </si>
  <si>
    <t>45,20</t>
  </si>
  <si>
    <t>23,0</t>
  </si>
  <si>
    <t>517.50</t>
  </si>
  <si>
    <t>Гончар Елена</t>
  </si>
  <si>
    <t>Open (01.11.1983)/32</t>
  </si>
  <si>
    <t>54,45</t>
  </si>
  <si>
    <t>27,5</t>
  </si>
  <si>
    <t>51,0</t>
  </si>
  <si>
    <t>1402.50</t>
  </si>
  <si>
    <t>Маилянц Леонид</t>
  </si>
  <si>
    <t>Teen 13-19 (25.01.2003)/13</t>
  </si>
  <si>
    <t>37,75</t>
  </si>
  <si>
    <t>47,0</t>
  </si>
  <si>
    <t>940.00</t>
  </si>
  <si>
    <t>Швецов Алексей</t>
  </si>
  <si>
    <t>Teen 13-19 (04.01.1999)/17</t>
  </si>
  <si>
    <t>56,40</t>
  </si>
  <si>
    <t>92,0</t>
  </si>
  <si>
    <t>2760.00</t>
  </si>
  <si>
    <t>Бешкарев Тарас</t>
  </si>
  <si>
    <t>Teen 13-19 (01.03.1998)/18</t>
  </si>
  <si>
    <t>63,55</t>
  </si>
  <si>
    <t>32,5</t>
  </si>
  <si>
    <t>46,0</t>
  </si>
  <si>
    <t>1495.00</t>
  </si>
  <si>
    <t>Солоницын Даниил</t>
  </si>
  <si>
    <t>Teen 13-19 (12.09.2001)/14</t>
  </si>
  <si>
    <t>70,60</t>
  </si>
  <si>
    <t>37,5</t>
  </si>
  <si>
    <t>68,0</t>
  </si>
  <si>
    <t>2550.00</t>
  </si>
  <si>
    <t>2750,0</t>
  </si>
  <si>
    <t>4840,0000</t>
  </si>
  <si>
    <t>1402,5</t>
  </si>
  <si>
    <t>1322,2770</t>
  </si>
  <si>
    <t>517,5</t>
  </si>
  <si>
    <t>528,9367</t>
  </si>
  <si>
    <t xml:space="preserve">Юноши 13 - 19 </t>
  </si>
  <si>
    <t>2760,0</t>
  </si>
  <si>
    <t>2671,9560</t>
  </si>
  <si>
    <t>2550,0</t>
  </si>
  <si>
    <t>2132,0550</t>
  </si>
  <si>
    <t>1495,0</t>
  </si>
  <si>
    <t>1317,3940</t>
  </si>
  <si>
    <t>940,0</t>
  </si>
  <si>
    <t>1294,8501</t>
  </si>
  <si>
    <t>Чемпионат Евразийского Союза "Олимпия-3" Люб. народный жим (1 вес)
01 - 05.Июнь.2016</t>
  </si>
  <si>
    <t>Кайтмазов Ацамаз</t>
  </si>
  <si>
    <t>Open (13.08.1989)/26</t>
  </si>
  <si>
    <t>70,15</t>
  </si>
  <si>
    <t>22,0</t>
  </si>
  <si>
    <t>1595.00</t>
  </si>
  <si>
    <t>80,00</t>
  </si>
  <si>
    <t>36,0</t>
  </si>
  <si>
    <t>2880.00</t>
  </si>
  <si>
    <t>Макаренко Евгений</t>
  </si>
  <si>
    <t>Open (21.09.1980)/35</t>
  </si>
  <si>
    <t>89,30</t>
  </si>
  <si>
    <t>3240.00</t>
  </si>
  <si>
    <t>Open (29.09.1967)/48</t>
  </si>
  <si>
    <t>94,95</t>
  </si>
  <si>
    <t>43,0</t>
  </si>
  <si>
    <t>4085.00</t>
  </si>
  <si>
    <t>29,0</t>
  </si>
  <si>
    <t>2755.00</t>
  </si>
  <si>
    <t>Романов Алексей</t>
  </si>
  <si>
    <t>Open (27.02.1982)/34</t>
  </si>
  <si>
    <t>90,85</t>
  </si>
  <si>
    <t>2035.00</t>
  </si>
  <si>
    <t>Open (13.03.1958)/58</t>
  </si>
  <si>
    <t>103,60</t>
  </si>
  <si>
    <t>24,0</t>
  </si>
  <si>
    <t>2520.00</t>
  </si>
  <si>
    <t>4085,0</t>
  </si>
  <si>
    <t>2847,2451</t>
  </si>
  <si>
    <t>3240,0</t>
  </si>
  <si>
    <t>2330,5319</t>
  </si>
  <si>
    <t>2880,0</t>
  </si>
  <si>
    <t>2246,3999</t>
  </si>
  <si>
    <t>2755,0</t>
  </si>
  <si>
    <t>1920,2351</t>
  </si>
  <si>
    <t>2520,0</t>
  </si>
  <si>
    <t>1713,6000</t>
  </si>
  <si>
    <t>2035,0</t>
  </si>
  <si>
    <t>1482,4975</t>
  </si>
  <si>
    <t>1595,0</t>
  </si>
  <si>
    <t>1342,0330</t>
  </si>
  <si>
    <t>Чемпионат Евразийского Союза "Олимпия-3" Люб. народный жим (1/2 вес)
01 - 05.Июнь.2016</t>
  </si>
  <si>
    <t>51,70</t>
  </si>
  <si>
    <t>852.50</t>
  </si>
  <si>
    <t>852,5</t>
  </si>
  <si>
    <t>801,8615</t>
  </si>
  <si>
    <t>Чемпионат Евразийского Союза "Олимпия-3" 75 кг.
03 - 05.Июнь.2016</t>
  </si>
  <si>
    <t>ВЕСОВАЯ КАТЕГОРИЯ   All</t>
  </si>
  <si>
    <t>2625.00</t>
  </si>
  <si>
    <t>Ярмышев Евгений</t>
  </si>
  <si>
    <t>Open (23.06.1982)/33</t>
  </si>
  <si>
    <t>92,25</t>
  </si>
  <si>
    <t>2250.00</t>
  </si>
  <si>
    <t xml:space="preserve">All </t>
  </si>
  <si>
    <t>2625,0</t>
  </si>
  <si>
    <t>1528,0124</t>
  </si>
  <si>
    <t>2250,0</t>
  </si>
  <si>
    <t>1298,2500</t>
  </si>
  <si>
    <t>Чемпионат Евразийского Союза "Олимпия-3" 55 кг.
01 - 05.Июнь.2016</t>
  </si>
  <si>
    <t>Воронин Дмитрий</t>
  </si>
  <si>
    <t>Masters 40-49 (08.07.1975)/40</t>
  </si>
  <si>
    <t>Masters 50-59 (27.06.1963)/52</t>
  </si>
  <si>
    <t>81,60</t>
  </si>
  <si>
    <t>26,0</t>
  </si>
  <si>
    <t>1430.00</t>
  </si>
  <si>
    <t>Каримов Валерий</t>
  </si>
  <si>
    <t>Masters 60+ (16.11.1950)/65</t>
  </si>
  <si>
    <t>16,0</t>
  </si>
  <si>
    <t>880.00</t>
  </si>
  <si>
    <t>Ибатуллин Рафаил</t>
  </si>
  <si>
    <t>Masters 60+ (19.06.1953)/62</t>
  </si>
  <si>
    <t>86,30</t>
  </si>
  <si>
    <t>12,0</t>
  </si>
  <si>
    <t>660.00</t>
  </si>
  <si>
    <t xml:space="preserve">Мастера 50 - 59 </t>
  </si>
  <si>
    <t>1430,0</t>
  </si>
  <si>
    <t>1078,9878</t>
  </si>
  <si>
    <t xml:space="preserve">Мастера 40 - 49 </t>
  </si>
  <si>
    <t>994,0838</t>
  </si>
  <si>
    <t xml:space="preserve">Мастера 60+ </t>
  </si>
  <si>
    <t>880,0</t>
  </si>
  <si>
    <t>949,3863</t>
  </si>
  <si>
    <t>660,0</t>
  </si>
  <si>
    <t>696,0225</t>
  </si>
  <si>
    <t>Чемпионат Евразийского Союза "Олимпия-3" Любители пауэрлифтинг без экипировки
01 - 05.Июнь.2016</t>
  </si>
  <si>
    <t>Юдина Елена</t>
  </si>
  <si>
    <t>Open (03.05.1985)/31</t>
  </si>
  <si>
    <t>50,50</t>
  </si>
  <si>
    <t xml:space="preserve">Московская область </t>
  </si>
  <si>
    <t xml:space="preserve">Пушкино/Московская область </t>
  </si>
  <si>
    <t>Марченко Евгения</t>
  </si>
  <si>
    <t>Open (21.12.1991)/24</t>
  </si>
  <si>
    <t>55,35</t>
  </si>
  <si>
    <t>267.50</t>
  </si>
  <si>
    <t>Степанян Екатерина</t>
  </si>
  <si>
    <t>Open (06.07.1983)/32</t>
  </si>
  <si>
    <t>54,90</t>
  </si>
  <si>
    <t>Ходунов Александр</t>
  </si>
  <si>
    <t>Teen 13-15 (23.07.2004)/11</t>
  </si>
  <si>
    <t>45,85</t>
  </si>
  <si>
    <t>Гамгия Саид</t>
  </si>
  <si>
    <t>Teen 18-19 (14.09.1997)/18</t>
  </si>
  <si>
    <t>55,95</t>
  </si>
  <si>
    <t>365.00</t>
  </si>
  <si>
    <t>Куранов Данил</t>
  </si>
  <si>
    <t>Teen 13-15 (22.02.2002)/14</t>
  </si>
  <si>
    <t>71,60</t>
  </si>
  <si>
    <t>270.00</t>
  </si>
  <si>
    <t>Поддубный Даниил</t>
  </si>
  <si>
    <t>Juniors 20-23 (10.04.1994)/22</t>
  </si>
  <si>
    <t>73,30</t>
  </si>
  <si>
    <t>530.00</t>
  </si>
  <si>
    <t>Корепанов Валерий</t>
  </si>
  <si>
    <t>Masters 45-49 (17.10.1966)/49</t>
  </si>
  <si>
    <t>Алампиев Сергей</t>
  </si>
  <si>
    <t>Masters 55-59 (07.04.1957)/59</t>
  </si>
  <si>
    <t>222,5</t>
  </si>
  <si>
    <t>480.00</t>
  </si>
  <si>
    <t>Титуленко Эдуард</t>
  </si>
  <si>
    <t>Teen 18-19 (10.07.1996)/19</t>
  </si>
  <si>
    <t>217,5</t>
  </si>
  <si>
    <t>635.00</t>
  </si>
  <si>
    <t>Апаров Денис</t>
  </si>
  <si>
    <t>Juniors 20-23 (26.09.1992)/23</t>
  </si>
  <si>
    <t>80,20</t>
  </si>
  <si>
    <t xml:space="preserve">Самарская область </t>
  </si>
  <si>
    <t xml:space="preserve">Тольятти/Самарская область </t>
  </si>
  <si>
    <t>515.00</t>
  </si>
  <si>
    <t>Юдин Григорий</t>
  </si>
  <si>
    <t>Open (06.06.1985)/30</t>
  </si>
  <si>
    <t>80,55</t>
  </si>
  <si>
    <t>535.00</t>
  </si>
  <si>
    <t>Зубов Денис</t>
  </si>
  <si>
    <t>Open (02.04.1987)/29</t>
  </si>
  <si>
    <t>602.50</t>
  </si>
  <si>
    <t>Ходжабдулаев Дмитрий</t>
  </si>
  <si>
    <t>Teen 16-17 (07.10.1998)/17</t>
  </si>
  <si>
    <t>95,90</t>
  </si>
  <si>
    <t>522.50</t>
  </si>
  <si>
    <t>98,75</t>
  </si>
  <si>
    <t>705.00</t>
  </si>
  <si>
    <t>Open (11.06.1992)/23</t>
  </si>
  <si>
    <t>dummy Male</t>
  </si>
  <si>
    <t>Open (01.01.1980)/36</t>
  </si>
  <si>
    <t>98,50</t>
  </si>
  <si>
    <t>Чернышев Денис</t>
  </si>
  <si>
    <t>Open (15.08.1985)/30</t>
  </si>
  <si>
    <t>109,15</t>
  </si>
  <si>
    <t xml:space="preserve">Лысьва/Пермский край </t>
  </si>
  <si>
    <t>325,0</t>
  </si>
  <si>
    <t xml:space="preserve">Голышев С., Максимов В. </t>
  </si>
  <si>
    <t>Мкртчян Акоп</t>
  </si>
  <si>
    <t>Open (23.03.1987)/29</t>
  </si>
  <si>
    <t>105,60</t>
  </si>
  <si>
    <t>605.00</t>
  </si>
  <si>
    <t>Лазукин Алексей</t>
  </si>
  <si>
    <t>Open (03.05.1990)/26</t>
  </si>
  <si>
    <t>103,85</t>
  </si>
  <si>
    <t xml:space="preserve">Нововоронеж/Воронежская область </t>
  </si>
  <si>
    <t>540.00</t>
  </si>
  <si>
    <t>246,3140</t>
  </si>
  <si>
    <t>178,6860</t>
  </si>
  <si>
    <t>635,0</t>
  </si>
  <si>
    <t>408,9857</t>
  </si>
  <si>
    <t>365,0</t>
  </si>
  <si>
    <t>338,7890</t>
  </si>
  <si>
    <t>522,5</t>
  </si>
  <si>
    <t>318,8859</t>
  </si>
  <si>
    <t>258,8227</t>
  </si>
  <si>
    <t>229,0826</t>
  </si>
  <si>
    <t>705,0</t>
  </si>
  <si>
    <t>392,7908</t>
  </si>
  <si>
    <t>530,0</t>
  </si>
  <si>
    <t>362,2375</t>
  </si>
  <si>
    <t>515,0</t>
  </si>
  <si>
    <t>325,3770</t>
  </si>
  <si>
    <t>438,1032</t>
  </si>
  <si>
    <t>602,5</t>
  </si>
  <si>
    <t>355,6558</t>
  </si>
  <si>
    <t>535,0</t>
  </si>
  <si>
    <t>336,9430</t>
  </si>
  <si>
    <t>605,0</t>
  </si>
  <si>
    <t>328,3335</t>
  </si>
  <si>
    <t>540,0</t>
  </si>
  <si>
    <t>294,7320</t>
  </si>
  <si>
    <t>480,0</t>
  </si>
  <si>
    <t>516,7246</t>
  </si>
  <si>
    <t xml:space="preserve">Командное первенство </t>
  </si>
  <si>
    <t xml:space="preserve">Команда </t>
  </si>
  <si>
    <t xml:space="preserve">Очки </t>
  </si>
  <si>
    <t xml:space="preserve">Участники </t>
  </si>
  <si>
    <t xml:space="preserve">41(12+5+12+12) </t>
  </si>
  <si>
    <t xml:space="preserve">Зубов Денис, Мкртчян Акоп, Куранов Данил, Чернышев Денис </t>
  </si>
  <si>
    <t xml:space="preserve">24(12+12) </t>
  </si>
  <si>
    <t xml:space="preserve">Юдина Елена, Юдин Григорий </t>
  </si>
  <si>
    <t xml:space="preserve">Поддубный Даниил, Ходжабдулаев Дмитрий </t>
  </si>
  <si>
    <t xml:space="preserve">Урнежюс Гражвидас, Урнежюс Гражвидас </t>
  </si>
  <si>
    <t xml:space="preserve">12(12) </t>
  </si>
  <si>
    <t xml:space="preserve">Марченко Евгения </t>
  </si>
  <si>
    <t xml:space="preserve">Апаров Денис </t>
  </si>
  <si>
    <t xml:space="preserve">Гамгия Саид </t>
  </si>
  <si>
    <t xml:space="preserve">Титуленко Эдуард </t>
  </si>
  <si>
    <t xml:space="preserve">Ходунов Александр </t>
  </si>
  <si>
    <t xml:space="preserve">Алампиев Сергей </t>
  </si>
  <si>
    <t xml:space="preserve">3(3) </t>
  </si>
  <si>
    <t xml:space="preserve">Лазукин Алексей </t>
  </si>
  <si>
    <t>Чемпионат Евразийского Союза "Олимпия-3" Любители присед без экипировки
01 - 05.Июнь.2016</t>
  </si>
  <si>
    <t>135,4070</t>
  </si>
  <si>
    <t>183,0066</t>
  </si>
  <si>
    <t xml:space="preserve">Юдин Григорий </t>
  </si>
  <si>
    <t>Чемпионат Евразийского Союза "Олимпия-3" Любители становая тяга без экипировки
01 - 05.Июнь.2016</t>
  </si>
  <si>
    <t>152.50</t>
  </si>
  <si>
    <t>187,5</t>
  </si>
  <si>
    <t>187.50</t>
  </si>
  <si>
    <t>Васютин Николай</t>
  </si>
  <si>
    <t>Open (23.01.1990)/26</t>
  </si>
  <si>
    <t>Блинков Евгений</t>
  </si>
  <si>
    <t>Open (03.09.1987)/28</t>
  </si>
  <si>
    <t xml:space="preserve">Москва </t>
  </si>
  <si>
    <t>Северинов Андрей</t>
  </si>
  <si>
    <t>Open (30.07.1988)/27</t>
  </si>
  <si>
    <t>93,80</t>
  </si>
  <si>
    <t>Гончаренко Александр</t>
  </si>
  <si>
    <t>Open (24.10.1979)/36</t>
  </si>
  <si>
    <t>99,35</t>
  </si>
  <si>
    <t>325.00</t>
  </si>
  <si>
    <t>Зуб Евгений</t>
  </si>
  <si>
    <t>Open (03.07.1987)/28</t>
  </si>
  <si>
    <t>108,95</t>
  </si>
  <si>
    <t>242.50</t>
  </si>
  <si>
    <t>144,9482</t>
  </si>
  <si>
    <t>174,7037</t>
  </si>
  <si>
    <t>170,1290</t>
  </si>
  <si>
    <t>143,7730</t>
  </si>
  <si>
    <t>130,4044</t>
  </si>
  <si>
    <t>125,7740</t>
  </si>
  <si>
    <t>105,5735</t>
  </si>
  <si>
    <t>226,0670</t>
  </si>
  <si>
    <t>151,4251</t>
  </si>
  <si>
    <t>142,5352</t>
  </si>
  <si>
    <t xml:space="preserve">32(5+12+12+3) </t>
  </si>
  <si>
    <t xml:space="preserve">Зуб Евгений, Чернышев Денис, Корепанов Валерий, Гончаренко Александр </t>
  </si>
  <si>
    <t xml:space="preserve">17(5+12) </t>
  </si>
  <si>
    <t xml:space="preserve">Северинов Андрей, Ходжабдулаев Дмитрий </t>
  </si>
  <si>
    <t xml:space="preserve">Хайруллин Айрат </t>
  </si>
  <si>
    <t xml:space="preserve">Васютин Николай </t>
  </si>
  <si>
    <t xml:space="preserve">Блинков Евгений </t>
  </si>
  <si>
    <t>Чемпионат Евразийского Союза "Олимпия-3" Любители пауэрлифтинг в экипировке
01 - 05.Июнь.2016</t>
  </si>
  <si>
    <t>Банман Виктор</t>
  </si>
  <si>
    <t>Masters 55-59 (18.01.1957)/59</t>
  </si>
  <si>
    <t>Соловьёв Евгений</t>
  </si>
  <si>
    <t>Open (20.09.1988)/27</t>
  </si>
  <si>
    <t>87,60</t>
  </si>
  <si>
    <t>747.50</t>
  </si>
  <si>
    <t>747,5</t>
  </si>
  <si>
    <t>444,9120</t>
  </si>
  <si>
    <t xml:space="preserve">Соловьёв Евгений </t>
  </si>
  <si>
    <t>Чемпионат Евразийского Союза "Олимпия-3" Любители присед в экипировке
01 - 05.Июнь.2016</t>
  </si>
  <si>
    <t>99,80</t>
  </si>
  <si>
    <t>171,8950</t>
  </si>
  <si>
    <t xml:space="preserve">Тункин Вячеслав </t>
  </si>
  <si>
    <t>Чемпионат Евразийского Союза "Олимпия-3" Любители становая тяга в экипировке
01 - 05.Июнь.2016</t>
  </si>
  <si>
    <t>307.50</t>
  </si>
  <si>
    <t>171,5235</t>
  </si>
  <si>
    <t>Чемпионат Евразийского Союза "Олимпия-3" Любители
01 - 05.Июнь.2016</t>
  </si>
  <si>
    <t>Подъем на бицес</t>
  </si>
  <si>
    <t>Армейский жим</t>
  </si>
  <si>
    <t>Великоиваненко Андрей</t>
  </si>
  <si>
    <t>Open (19.06.1979)/36</t>
  </si>
  <si>
    <t>79,35</t>
  </si>
  <si>
    <t>142.50</t>
  </si>
  <si>
    <t>Горбунов Антон</t>
  </si>
  <si>
    <t>Open (03.04.1983)/33</t>
  </si>
  <si>
    <t xml:space="preserve">Пермский край </t>
  </si>
  <si>
    <t xml:space="preserve">Пермь/Пермский край </t>
  </si>
  <si>
    <t>132.50</t>
  </si>
  <si>
    <t>ВЕСОВАЯ КАТЕГОРИЯ   100+</t>
  </si>
  <si>
    <t>Беляев Евгений</t>
  </si>
  <si>
    <t>Open (14.07.1982)/33</t>
  </si>
  <si>
    <t>106,70</t>
  </si>
  <si>
    <t xml:space="preserve">Караганда/Карагандинская </t>
  </si>
  <si>
    <t>90,7297</t>
  </si>
  <si>
    <t>89,2650</t>
  </si>
  <si>
    <t>83,4485</t>
  </si>
  <si>
    <t>Чемпионат Евразийского Союза "Олимпия-3" Профессионалы
01 - 05.Июнь.2016</t>
  </si>
  <si>
    <t>45,40</t>
  </si>
  <si>
    <t>15,0</t>
  </si>
  <si>
    <t>17,5</t>
  </si>
  <si>
    <t>35.00</t>
  </si>
  <si>
    <t>5,0</t>
  </si>
  <si>
    <t>10,0</t>
  </si>
  <si>
    <t>7,5</t>
  </si>
  <si>
    <t>Рагимов Эльдар</t>
  </si>
  <si>
    <t>Open (16.01.1990)/26</t>
  </si>
  <si>
    <t>78,95</t>
  </si>
  <si>
    <t>Open (12.09.2001)/14</t>
  </si>
  <si>
    <t>70,20</t>
  </si>
  <si>
    <t>Open (04.01.1999)/17</t>
  </si>
  <si>
    <t>82.50</t>
  </si>
  <si>
    <t>Open (01.03.1998)/18</t>
  </si>
  <si>
    <t>62,90</t>
  </si>
  <si>
    <t>75.00</t>
  </si>
  <si>
    <t>Open (25.01.2003)/13</t>
  </si>
  <si>
    <t>37,60</t>
  </si>
  <si>
    <t>Олесюк Виталий</t>
  </si>
  <si>
    <t>Open (29.05.1986)/30</t>
  </si>
  <si>
    <t>96,00</t>
  </si>
  <si>
    <t>116,60</t>
  </si>
  <si>
    <t>122,5</t>
  </si>
  <si>
    <t>202.50</t>
  </si>
  <si>
    <t>37,8578</t>
  </si>
  <si>
    <t>26,8605</t>
  </si>
  <si>
    <t>108,6505</t>
  </si>
  <si>
    <t>107,3250</t>
  </si>
  <si>
    <t>98,8400</t>
  </si>
  <si>
    <t>86,2785</t>
  </si>
  <si>
    <t>72,1710</t>
  </si>
  <si>
    <t>70,1400</t>
  </si>
  <si>
    <t>58,1475</t>
  </si>
  <si>
    <t>45,9655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</si>
</sst>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47">
    <font>
      <sz val="10"/>
      <name val="Arial Cyr"/>
      <family val="2"/>
    </font>
    <font>
      <sz val="24"/>
      <name val="Arial Cyr"/>
      <family val="2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indent="1"/>
    </xf>
    <xf numFmtId="49" fontId="11" fillId="0" borderId="0" xfId="0" applyNumberFormat="1" applyFont="1" applyFill="1" applyBorder="1" applyAlignment="1">
      <alignment horizontal="left" indent="1"/>
    </xf>
    <xf numFmtId="49" fontId="12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indent="1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3"/>
  <sheetViews>
    <sheetView tabSelected="1" workbookViewId="0" topLeftCell="A1">
      <selection activeCell="A3" sqref="A3:A4"/>
    </sheetView>
  </sheetViews>
  <sheetFormatPr defaultColWidth="9.125" defaultRowHeight="12.75"/>
  <cols>
    <col min="1" max="1" width="28.25390625" style="4" bestFit="1" customWidth="1"/>
    <col min="2" max="2" width="26.875" style="1" bestFit="1" customWidth="1"/>
    <col min="3" max="3" width="10.625" style="1" bestFit="1" customWidth="1"/>
    <col min="4" max="4" width="9.25390625" style="1" bestFit="1" customWidth="1"/>
    <col min="5" max="5" width="22.75390625" style="5" bestFit="1" customWidth="1"/>
    <col min="6" max="6" width="39.625" style="5" bestFit="1" customWidth="1"/>
    <col min="7" max="9" width="5.625" style="1" bestFit="1" customWidth="1"/>
    <col min="10" max="10" width="4.625" style="1" bestFit="1" customWidth="1"/>
    <col min="11" max="11" width="7.875" style="4" bestFit="1" customWidth="1"/>
    <col min="12" max="12" width="8.625" style="1" bestFit="1" customWidth="1"/>
    <col min="13" max="13" width="8.875" style="5" bestFit="1" customWidth="1"/>
    <col min="14" max="16384" width="9.125" style="1" customWidth="1"/>
  </cols>
  <sheetData>
    <row r="1" spans="1:13" ht="15" customHeight="1">
      <c r="A1" s="39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66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2" customFormat="1" ht="12.75" customHeight="1">
      <c r="A3" s="45" t="s">
        <v>0</v>
      </c>
      <c r="B3" s="47" t="s">
        <v>9</v>
      </c>
      <c r="C3" s="37" t="s">
        <v>3</v>
      </c>
      <c r="D3" s="37" t="s">
        <v>11</v>
      </c>
      <c r="E3" s="37" t="s">
        <v>6</v>
      </c>
      <c r="F3" s="37" t="s">
        <v>8</v>
      </c>
      <c r="G3" s="37" t="s">
        <v>1</v>
      </c>
      <c r="H3" s="37"/>
      <c r="I3" s="37"/>
      <c r="J3" s="37"/>
      <c r="K3" s="37" t="s">
        <v>2</v>
      </c>
      <c r="L3" s="37" t="s">
        <v>5</v>
      </c>
      <c r="M3" s="48" t="s">
        <v>4</v>
      </c>
    </row>
    <row r="4" spans="1:13" s="2" customFormat="1" ht="21" customHeight="1" thickBot="1">
      <c r="A4" s="46"/>
      <c r="B4" s="38"/>
      <c r="C4" s="38"/>
      <c r="D4" s="38"/>
      <c r="E4" s="38"/>
      <c r="F4" s="38"/>
      <c r="G4" s="3">
        <v>1</v>
      </c>
      <c r="H4" s="3">
        <v>2</v>
      </c>
      <c r="I4" s="3">
        <v>3</v>
      </c>
      <c r="J4" s="3" t="s">
        <v>7</v>
      </c>
      <c r="K4" s="38"/>
      <c r="L4" s="38"/>
      <c r="M4" s="49"/>
    </row>
    <row r="5" spans="1:12" ht="15.75">
      <c r="A5" s="35" t="s">
        <v>12</v>
      </c>
      <c r="B5" s="36"/>
      <c r="C5" s="36"/>
      <c r="D5" s="36"/>
      <c r="E5" s="36"/>
      <c r="F5" s="36"/>
      <c r="G5" s="36"/>
      <c r="H5" s="36"/>
      <c r="I5" s="36"/>
      <c r="J5" s="36"/>
      <c r="K5" s="35"/>
      <c r="L5" s="36"/>
    </row>
    <row r="6" spans="1:13" ht="12.75">
      <c r="A6" s="6" t="s">
        <v>13</v>
      </c>
      <c r="B6" s="7" t="s">
        <v>14</v>
      </c>
      <c r="C6" s="7" t="s">
        <v>15</v>
      </c>
      <c r="D6" s="7" t="str">
        <f>"1,0379"</f>
        <v>1,0379</v>
      </c>
      <c r="E6" s="8" t="s">
        <v>16</v>
      </c>
      <c r="F6" s="8" t="s">
        <v>17</v>
      </c>
      <c r="G6" s="9" t="s">
        <v>18</v>
      </c>
      <c r="H6" s="7" t="s">
        <v>18</v>
      </c>
      <c r="I6" s="7" t="s">
        <v>19</v>
      </c>
      <c r="J6" s="9"/>
      <c r="K6" s="6" t="s">
        <v>20</v>
      </c>
      <c r="L6" s="7" t="str">
        <f>"51,8950"</f>
        <v>51,8950</v>
      </c>
      <c r="M6" s="8" t="s">
        <v>21</v>
      </c>
    </row>
    <row r="8" spans="1:12" ht="15.75">
      <c r="A8" s="33" t="s">
        <v>22</v>
      </c>
      <c r="B8" s="34"/>
      <c r="C8" s="34"/>
      <c r="D8" s="34"/>
      <c r="E8" s="34"/>
      <c r="F8" s="34"/>
      <c r="G8" s="34"/>
      <c r="H8" s="34"/>
      <c r="I8" s="34"/>
      <c r="J8" s="34"/>
      <c r="K8" s="33"/>
      <c r="L8" s="34"/>
    </row>
    <row r="9" spans="1:13" ht="12.75">
      <c r="A9" s="11" t="s">
        <v>23</v>
      </c>
      <c r="B9" s="12" t="s">
        <v>24</v>
      </c>
      <c r="C9" s="12" t="s">
        <v>25</v>
      </c>
      <c r="D9" s="12" t="str">
        <f>"1,0024"</f>
        <v>1,0024</v>
      </c>
      <c r="E9" s="13" t="s">
        <v>26</v>
      </c>
      <c r="F9" s="13" t="s">
        <v>27</v>
      </c>
      <c r="G9" s="14" t="s">
        <v>28</v>
      </c>
      <c r="H9" s="12" t="s">
        <v>28</v>
      </c>
      <c r="I9" s="12" t="s">
        <v>29</v>
      </c>
      <c r="J9" s="14"/>
      <c r="K9" s="11" t="s">
        <v>30</v>
      </c>
      <c r="L9" s="12" t="str">
        <f>"67,6654"</f>
        <v>67,6654</v>
      </c>
      <c r="M9" s="13" t="s">
        <v>21</v>
      </c>
    </row>
    <row r="10" spans="1:13" ht="12.75">
      <c r="A10" s="15" t="s">
        <v>31</v>
      </c>
      <c r="B10" s="16" t="s">
        <v>32</v>
      </c>
      <c r="C10" s="16" t="s">
        <v>33</v>
      </c>
      <c r="D10" s="16" t="str">
        <f>"0,9786"</f>
        <v>0,9786</v>
      </c>
      <c r="E10" s="17" t="s">
        <v>34</v>
      </c>
      <c r="F10" s="17" t="s">
        <v>35</v>
      </c>
      <c r="G10" s="16" t="s">
        <v>36</v>
      </c>
      <c r="H10" s="16" t="s">
        <v>18</v>
      </c>
      <c r="I10" s="18" t="s">
        <v>19</v>
      </c>
      <c r="J10" s="18"/>
      <c r="K10" s="15" t="s">
        <v>37</v>
      </c>
      <c r="L10" s="16" t="str">
        <f>"46,4811"</f>
        <v>46,4811</v>
      </c>
      <c r="M10" s="17" t="s">
        <v>21</v>
      </c>
    </row>
    <row r="12" spans="1:12" ht="15.75">
      <c r="A12" s="33" t="s">
        <v>38</v>
      </c>
      <c r="B12" s="34"/>
      <c r="C12" s="34"/>
      <c r="D12" s="34"/>
      <c r="E12" s="34"/>
      <c r="F12" s="34"/>
      <c r="G12" s="34"/>
      <c r="H12" s="34"/>
      <c r="I12" s="34"/>
      <c r="J12" s="34"/>
      <c r="K12" s="33"/>
      <c r="L12" s="34"/>
    </row>
    <row r="13" spans="1:13" ht="12.75">
      <c r="A13" s="11" t="s">
        <v>39</v>
      </c>
      <c r="B13" s="12" t="s">
        <v>40</v>
      </c>
      <c r="C13" s="12" t="s">
        <v>41</v>
      </c>
      <c r="D13" s="12" t="str">
        <f>"0,9044"</f>
        <v>0,9044</v>
      </c>
      <c r="E13" s="13" t="s">
        <v>42</v>
      </c>
      <c r="F13" s="13" t="s">
        <v>43</v>
      </c>
      <c r="G13" s="12" t="s">
        <v>18</v>
      </c>
      <c r="H13" s="12" t="s">
        <v>44</v>
      </c>
      <c r="I13" s="14" t="s">
        <v>45</v>
      </c>
      <c r="J13" s="14"/>
      <c r="K13" s="11" t="s">
        <v>46</v>
      </c>
      <c r="L13" s="12" t="str">
        <f>"47,4836"</f>
        <v>47,4836</v>
      </c>
      <c r="M13" s="13" t="s">
        <v>21</v>
      </c>
    </row>
    <row r="14" spans="1:13" ht="12.75">
      <c r="A14" s="15" t="s">
        <v>47</v>
      </c>
      <c r="B14" s="16" t="s">
        <v>48</v>
      </c>
      <c r="C14" s="16" t="s">
        <v>49</v>
      </c>
      <c r="D14" s="16" t="str">
        <f>"0,9160"</f>
        <v>0,9160</v>
      </c>
      <c r="E14" s="17" t="s">
        <v>50</v>
      </c>
      <c r="F14" s="17" t="s">
        <v>51</v>
      </c>
      <c r="G14" s="16" t="s">
        <v>52</v>
      </c>
      <c r="H14" s="16" t="s">
        <v>53</v>
      </c>
      <c r="I14" s="16" t="s">
        <v>54</v>
      </c>
      <c r="J14" s="18"/>
      <c r="K14" s="15" t="s">
        <v>55</v>
      </c>
      <c r="L14" s="16" t="str">
        <f>"35,2019"</f>
        <v>35,2019</v>
      </c>
      <c r="M14" s="17" t="s">
        <v>21</v>
      </c>
    </row>
    <row r="16" spans="1:12" ht="15.75">
      <c r="A16" s="33" t="s">
        <v>56</v>
      </c>
      <c r="B16" s="34"/>
      <c r="C16" s="34"/>
      <c r="D16" s="34"/>
      <c r="E16" s="34"/>
      <c r="F16" s="34"/>
      <c r="G16" s="34"/>
      <c r="H16" s="34"/>
      <c r="I16" s="34"/>
      <c r="J16" s="34"/>
      <c r="K16" s="33"/>
      <c r="L16" s="34"/>
    </row>
    <row r="17" spans="1:13" ht="12.75">
      <c r="A17" s="11" t="s">
        <v>57</v>
      </c>
      <c r="B17" s="12" t="s">
        <v>58</v>
      </c>
      <c r="C17" s="12" t="s">
        <v>59</v>
      </c>
      <c r="D17" s="12" t="str">
        <f>"0,9006"</f>
        <v>0,9006</v>
      </c>
      <c r="E17" s="13" t="s">
        <v>34</v>
      </c>
      <c r="F17" s="13" t="s">
        <v>35</v>
      </c>
      <c r="G17" s="14" t="s">
        <v>28</v>
      </c>
      <c r="H17" s="14" t="s">
        <v>60</v>
      </c>
      <c r="I17" s="12" t="s">
        <v>60</v>
      </c>
      <c r="J17" s="14"/>
      <c r="K17" s="11" t="s">
        <v>61</v>
      </c>
      <c r="L17" s="12" t="str">
        <f>"58,5390"</f>
        <v>58,5390</v>
      </c>
      <c r="M17" s="13" t="s">
        <v>21</v>
      </c>
    </row>
    <row r="18" spans="1:13" ht="12.75">
      <c r="A18" s="19" t="s">
        <v>62</v>
      </c>
      <c r="B18" s="20" t="s">
        <v>63</v>
      </c>
      <c r="C18" s="20" t="s">
        <v>64</v>
      </c>
      <c r="D18" s="20" t="str">
        <f>"0,8775"</f>
        <v>0,8775</v>
      </c>
      <c r="E18" s="21" t="s">
        <v>65</v>
      </c>
      <c r="F18" s="21" t="s">
        <v>66</v>
      </c>
      <c r="G18" s="22" t="s">
        <v>67</v>
      </c>
      <c r="H18" s="22" t="s">
        <v>67</v>
      </c>
      <c r="I18" s="22" t="s">
        <v>67</v>
      </c>
      <c r="J18" s="22"/>
      <c r="K18" s="19" t="s">
        <v>68</v>
      </c>
      <c r="L18" s="20" t="str">
        <f>"0,0000"</f>
        <v>0,0000</v>
      </c>
      <c r="M18" s="21" t="s">
        <v>21</v>
      </c>
    </row>
    <row r="19" spans="1:13" ht="12.75">
      <c r="A19" s="15" t="s">
        <v>69</v>
      </c>
      <c r="B19" s="16" t="s">
        <v>70</v>
      </c>
      <c r="C19" s="16" t="s">
        <v>71</v>
      </c>
      <c r="D19" s="16" t="str">
        <f>"0,8653"</f>
        <v>0,8653</v>
      </c>
      <c r="E19" s="17" t="s">
        <v>72</v>
      </c>
      <c r="F19" s="17" t="s">
        <v>73</v>
      </c>
      <c r="G19" s="18" t="s">
        <v>74</v>
      </c>
      <c r="H19" s="18" t="s">
        <v>28</v>
      </c>
      <c r="I19" s="16" t="s">
        <v>28</v>
      </c>
      <c r="J19" s="18"/>
      <c r="K19" s="15" t="s">
        <v>75</v>
      </c>
      <c r="L19" s="16" t="str">
        <f>"54,0812"</f>
        <v>54,0812</v>
      </c>
      <c r="M19" s="17" t="s">
        <v>21</v>
      </c>
    </row>
    <row r="21" spans="1:12" ht="15.75">
      <c r="A21" s="33" t="s">
        <v>22</v>
      </c>
      <c r="B21" s="34"/>
      <c r="C21" s="34"/>
      <c r="D21" s="34"/>
      <c r="E21" s="34"/>
      <c r="F21" s="34"/>
      <c r="G21" s="34"/>
      <c r="H21" s="34"/>
      <c r="I21" s="34"/>
      <c r="J21" s="34"/>
      <c r="K21" s="33"/>
      <c r="L21" s="34"/>
    </row>
    <row r="22" spans="1:13" ht="12.75">
      <c r="A22" s="6" t="s">
        <v>76</v>
      </c>
      <c r="B22" s="7" t="s">
        <v>77</v>
      </c>
      <c r="C22" s="7" t="s">
        <v>78</v>
      </c>
      <c r="D22" s="7" t="str">
        <f>"1,3133"</f>
        <v>1,3133</v>
      </c>
      <c r="E22" s="8" t="s">
        <v>79</v>
      </c>
      <c r="F22" s="8" t="s">
        <v>80</v>
      </c>
      <c r="G22" s="7" t="s">
        <v>52</v>
      </c>
      <c r="H22" s="9" t="s">
        <v>81</v>
      </c>
      <c r="I22" s="9" t="s">
        <v>82</v>
      </c>
      <c r="J22" s="9"/>
      <c r="K22" s="6" t="s">
        <v>83</v>
      </c>
      <c r="L22" s="7" t="str">
        <f>"32,3072"</f>
        <v>32,3072</v>
      </c>
      <c r="M22" s="8" t="s">
        <v>21</v>
      </c>
    </row>
    <row r="24" spans="1:12" ht="15.75">
      <c r="A24" s="33" t="s">
        <v>38</v>
      </c>
      <c r="B24" s="34"/>
      <c r="C24" s="34"/>
      <c r="D24" s="34"/>
      <c r="E24" s="34"/>
      <c r="F24" s="34"/>
      <c r="G24" s="34"/>
      <c r="H24" s="34"/>
      <c r="I24" s="34"/>
      <c r="J24" s="34"/>
      <c r="K24" s="33"/>
      <c r="L24" s="34"/>
    </row>
    <row r="25" spans="1:13" ht="12.75">
      <c r="A25" s="6" t="s">
        <v>84</v>
      </c>
      <c r="B25" s="7" t="s">
        <v>85</v>
      </c>
      <c r="C25" s="7" t="s">
        <v>86</v>
      </c>
      <c r="D25" s="7" t="str">
        <f>"0,8748"</f>
        <v>0,8748</v>
      </c>
      <c r="E25" s="8" t="s">
        <v>50</v>
      </c>
      <c r="F25" s="8" t="s">
        <v>51</v>
      </c>
      <c r="G25" s="7" t="s">
        <v>19</v>
      </c>
      <c r="H25" s="9" t="s">
        <v>45</v>
      </c>
      <c r="I25" s="9" t="s">
        <v>45</v>
      </c>
      <c r="J25" s="9"/>
      <c r="K25" s="6" t="s">
        <v>20</v>
      </c>
      <c r="L25" s="7" t="str">
        <f>"53,8002"</f>
        <v>53,8002</v>
      </c>
      <c r="M25" s="8" t="s">
        <v>21</v>
      </c>
    </row>
    <row r="27" spans="1:12" ht="15.75">
      <c r="A27" s="33" t="s">
        <v>56</v>
      </c>
      <c r="B27" s="34"/>
      <c r="C27" s="34"/>
      <c r="D27" s="34"/>
      <c r="E27" s="34"/>
      <c r="F27" s="34"/>
      <c r="G27" s="34"/>
      <c r="H27" s="34"/>
      <c r="I27" s="34"/>
      <c r="J27" s="34"/>
      <c r="K27" s="33"/>
      <c r="L27" s="34"/>
    </row>
    <row r="28" spans="1:13" ht="12.75">
      <c r="A28" s="11" t="s">
        <v>87</v>
      </c>
      <c r="B28" s="12" t="s">
        <v>88</v>
      </c>
      <c r="C28" s="12" t="s">
        <v>89</v>
      </c>
      <c r="D28" s="12" t="str">
        <f>"0,8156"</f>
        <v>0,8156</v>
      </c>
      <c r="E28" s="13" t="s">
        <v>26</v>
      </c>
      <c r="F28" s="13" t="s">
        <v>90</v>
      </c>
      <c r="G28" s="12" t="s">
        <v>91</v>
      </c>
      <c r="H28" s="14" t="s">
        <v>92</v>
      </c>
      <c r="I28" s="14" t="s">
        <v>92</v>
      </c>
      <c r="J28" s="14"/>
      <c r="K28" s="11" t="s">
        <v>93</v>
      </c>
      <c r="L28" s="12" t="str">
        <f>"94,7319"</f>
        <v>94,7319</v>
      </c>
      <c r="M28" s="13" t="s">
        <v>21</v>
      </c>
    </row>
    <row r="29" spans="1:13" ht="12.75">
      <c r="A29" s="15" t="s">
        <v>94</v>
      </c>
      <c r="B29" s="16" t="s">
        <v>95</v>
      </c>
      <c r="C29" s="16" t="s">
        <v>96</v>
      </c>
      <c r="D29" s="16" t="str">
        <f>"0,8213"</f>
        <v>0,8213</v>
      </c>
      <c r="E29" s="17" t="s">
        <v>97</v>
      </c>
      <c r="F29" s="17" t="s">
        <v>98</v>
      </c>
      <c r="G29" s="16" t="s">
        <v>99</v>
      </c>
      <c r="H29" s="16" t="s">
        <v>100</v>
      </c>
      <c r="I29" s="16" t="s">
        <v>101</v>
      </c>
      <c r="J29" s="18"/>
      <c r="K29" s="15" t="s">
        <v>102</v>
      </c>
      <c r="L29" s="16" t="str">
        <f>"86,8833"</f>
        <v>86,8833</v>
      </c>
      <c r="M29" s="17" t="s">
        <v>21</v>
      </c>
    </row>
    <row r="31" spans="1:12" ht="15.75">
      <c r="A31" s="33" t="s">
        <v>103</v>
      </c>
      <c r="B31" s="34"/>
      <c r="C31" s="34"/>
      <c r="D31" s="34"/>
      <c r="E31" s="34"/>
      <c r="F31" s="34"/>
      <c r="G31" s="34"/>
      <c r="H31" s="34"/>
      <c r="I31" s="34"/>
      <c r="J31" s="34"/>
      <c r="K31" s="33"/>
      <c r="L31" s="34"/>
    </row>
    <row r="32" spans="1:13" ht="12.75">
      <c r="A32" s="11" t="s">
        <v>104</v>
      </c>
      <c r="B32" s="12" t="s">
        <v>105</v>
      </c>
      <c r="C32" s="12" t="s">
        <v>106</v>
      </c>
      <c r="D32" s="12" t="str">
        <f>"0,7357"</f>
        <v>0,7357</v>
      </c>
      <c r="E32" s="13" t="s">
        <v>107</v>
      </c>
      <c r="F32" s="13" t="s">
        <v>108</v>
      </c>
      <c r="G32" s="12" t="s">
        <v>109</v>
      </c>
      <c r="H32" s="12" t="s">
        <v>99</v>
      </c>
      <c r="I32" s="14" t="s">
        <v>110</v>
      </c>
      <c r="J32" s="14"/>
      <c r="K32" s="11" t="s">
        <v>111</v>
      </c>
      <c r="L32" s="12" t="str">
        <f>"72,3929"</f>
        <v>72,3929</v>
      </c>
      <c r="M32" s="13" t="s">
        <v>21</v>
      </c>
    </row>
    <row r="33" spans="1:13" ht="12.75">
      <c r="A33" s="19" t="s">
        <v>112</v>
      </c>
      <c r="B33" s="20" t="s">
        <v>113</v>
      </c>
      <c r="C33" s="20" t="s">
        <v>114</v>
      </c>
      <c r="D33" s="20" t="str">
        <f>"0,7268"</f>
        <v>0,7268</v>
      </c>
      <c r="E33" s="21" t="s">
        <v>107</v>
      </c>
      <c r="F33" s="21" t="s">
        <v>108</v>
      </c>
      <c r="G33" s="20" t="s">
        <v>99</v>
      </c>
      <c r="H33" s="20" t="s">
        <v>110</v>
      </c>
      <c r="I33" s="22" t="s">
        <v>115</v>
      </c>
      <c r="J33" s="22"/>
      <c r="K33" s="19" t="s">
        <v>116</v>
      </c>
      <c r="L33" s="20" t="str">
        <f>"70,6450"</f>
        <v>70,6450</v>
      </c>
      <c r="M33" s="21" t="s">
        <v>21</v>
      </c>
    </row>
    <row r="34" spans="1:13" ht="12.75">
      <c r="A34" s="19" t="s">
        <v>117</v>
      </c>
      <c r="B34" s="20" t="s">
        <v>118</v>
      </c>
      <c r="C34" s="20" t="s">
        <v>119</v>
      </c>
      <c r="D34" s="20" t="str">
        <f>"0,7450"</f>
        <v>0,7450</v>
      </c>
      <c r="E34" s="21" t="s">
        <v>97</v>
      </c>
      <c r="F34" s="21" t="s">
        <v>98</v>
      </c>
      <c r="G34" s="20" t="s">
        <v>91</v>
      </c>
      <c r="H34" s="20" t="s">
        <v>120</v>
      </c>
      <c r="I34" s="22" t="s">
        <v>82</v>
      </c>
      <c r="J34" s="22"/>
      <c r="K34" s="19" t="s">
        <v>121</v>
      </c>
      <c r="L34" s="20" t="str">
        <f>"95,9374"</f>
        <v>95,9374</v>
      </c>
      <c r="M34" s="21" t="s">
        <v>21</v>
      </c>
    </row>
    <row r="35" spans="1:13" ht="12.75">
      <c r="A35" s="15" t="s">
        <v>122</v>
      </c>
      <c r="B35" s="16" t="s">
        <v>123</v>
      </c>
      <c r="C35" s="16" t="s">
        <v>124</v>
      </c>
      <c r="D35" s="16" t="str">
        <f>"0,7372"</f>
        <v>0,7372</v>
      </c>
      <c r="E35" s="17" t="s">
        <v>125</v>
      </c>
      <c r="F35" s="17" t="s">
        <v>126</v>
      </c>
      <c r="G35" s="16" t="s">
        <v>60</v>
      </c>
      <c r="H35" s="16" t="s">
        <v>109</v>
      </c>
      <c r="I35" s="18" t="s">
        <v>127</v>
      </c>
      <c r="J35" s="18"/>
      <c r="K35" s="15" t="s">
        <v>128</v>
      </c>
      <c r="L35" s="16" t="str">
        <f>"107,7492"</f>
        <v>107,7492</v>
      </c>
      <c r="M35" s="17" t="s">
        <v>21</v>
      </c>
    </row>
    <row r="37" spans="1:12" ht="15.75">
      <c r="A37" s="33" t="s">
        <v>129</v>
      </c>
      <c r="B37" s="34"/>
      <c r="C37" s="34"/>
      <c r="D37" s="34"/>
      <c r="E37" s="34"/>
      <c r="F37" s="34"/>
      <c r="G37" s="34"/>
      <c r="H37" s="34"/>
      <c r="I37" s="34"/>
      <c r="J37" s="34"/>
      <c r="K37" s="33"/>
      <c r="L37" s="34"/>
    </row>
    <row r="38" spans="1:13" ht="12.75">
      <c r="A38" s="11" t="s">
        <v>130</v>
      </c>
      <c r="B38" s="12" t="s">
        <v>131</v>
      </c>
      <c r="C38" s="12" t="s">
        <v>132</v>
      </c>
      <c r="D38" s="12" t="str">
        <f>"0,6960"</f>
        <v>0,6960</v>
      </c>
      <c r="E38" s="13" t="s">
        <v>133</v>
      </c>
      <c r="F38" s="13" t="s">
        <v>134</v>
      </c>
      <c r="G38" s="12" t="s">
        <v>109</v>
      </c>
      <c r="H38" s="14" t="s">
        <v>135</v>
      </c>
      <c r="I38" s="12" t="s">
        <v>136</v>
      </c>
      <c r="J38" s="14"/>
      <c r="K38" s="11" t="s">
        <v>137</v>
      </c>
      <c r="L38" s="12" t="str">
        <f>"76,5560"</f>
        <v>76,5560</v>
      </c>
      <c r="M38" s="13" t="s">
        <v>21</v>
      </c>
    </row>
    <row r="39" spans="1:13" ht="12.75">
      <c r="A39" s="19" t="s">
        <v>138</v>
      </c>
      <c r="B39" s="20" t="s">
        <v>139</v>
      </c>
      <c r="C39" s="20" t="s">
        <v>140</v>
      </c>
      <c r="D39" s="20" t="str">
        <f>"0,6939"</f>
        <v>0,6939</v>
      </c>
      <c r="E39" s="21" t="s">
        <v>141</v>
      </c>
      <c r="F39" s="21" t="s">
        <v>142</v>
      </c>
      <c r="G39" s="22" t="s">
        <v>143</v>
      </c>
      <c r="H39" s="20" t="s">
        <v>143</v>
      </c>
      <c r="I39" s="22" t="s">
        <v>82</v>
      </c>
      <c r="J39" s="22"/>
      <c r="K39" s="19" t="s">
        <v>144</v>
      </c>
      <c r="L39" s="20" t="str">
        <f>"69,3854"</f>
        <v>69,3854</v>
      </c>
      <c r="M39" s="21" t="s">
        <v>21</v>
      </c>
    </row>
    <row r="40" spans="1:13" ht="12.75">
      <c r="A40" s="15" t="s">
        <v>145</v>
      </c>
      <c r="B40" s="16" t="s">
        <v>146</v>
      </c>
      <c r="C40" s="16" t="s">
        <v>147</v>
      </c>
      <c r="D40" s="16" t="str">
        <f>"0,6704"</f>
        <v>0,6704</v>
      </c>
      <c r="E40" s="17" t="s">
        <v>97</v>
      </c>
      <c r="F40" s="17" t="s">
        <v>98</v>
      </c>
      <c r="G40" s="16" t="s">
        <v>148</v>
      </c>
      <c r="H40" s="16" t="s">
        <v>143</v>
      </c>
      <c r="I40" s="18" t="s">
        <v>149</v>
      </c>
      <c r="J40" s="18"/>
      <c r="K40" s="15" t="s">
        <v>144</v>
      </c>
      <c r="L40" s="16" t="str">
        <f>"78,6438"</f>
        <v>78,6438</v>
      </c>
      <c r="M40" s="17" t="s">
        <v>21</v>
      </c>
    </row>
    <row r="42" spans="1:12" ht="15.75">
      <c r="A42" s="33" t="s">
        <v>150</v>
      </c>
      <c r="B42" s="34"/>
      <c r="C42" s="34"/>
      <c r="D42" s="34"/>
      <c r="E42" s="34"/>
      <c r="F42" s="34"/>
      <c r="G42" s="34"/>
      <c r="H42" s="34"/>
      <c r="I42" s="34"/>
      <c r="J42" s="34"/>
      <c r="K42" s="33"/>
      <c r="L42" s="34"/>
    </row>
    <row r="43" spans="1:13" ht="12.75">
      <c r="A43" s="11" t="s">
        <v>151</v>
      </c>
      <c r="B43" s="12" t="s">
        <v>152</v>
      </c>
      <c r="C43" s="12" t="s">
        <v>153</v>
      </c>
      <c r="D43" s="12" t="str">
        <f>"0,6307"</f>
        <v>0,6307</v>
      </c>
      <c r="E43" s="13" t="s">
        <v>34</v>
      </c>
      <c r="F43" s="13" t="s">
        <v>35</v>
      </c>
      <c r="G43" s="12" t="s">
        <v>154</v>
      </c>
      <c r="H43" s="14" t="s">
        <v>155</v>
      </c>
      <c r="I43" s="14" t="s">
        <v>155</v>
      </c>
      <c r="J43" s="14"/>
      <c r="K43" s="11" t="s">
        <v>156</v>
      </c>
      <c r="L43" s="12" t="str">
        <f>"90,0640"</f>
        <v>90,0640</v>
      </c>
      <c r="M43" s="13" t="s">
        <v>21</v>
      </c>
    </row>
    <row r="44" spans="1:13" ht="12.75">
      <c r="A44" s="19" t="s">
        <v>157</v>
      </c>
      <c r="B44" s="20" t="s">
        <v>158</v>
      </c>
      <c r="C44" s="20" t="s">
        <v>159</v>
      </c>
      <c r="D44" s="20" t="str">
        <f>"0,6209"</f>
        <v>0,6209</v>
      </c>
      <c r="E44" s="21" t="s">
        <v>133</v>
      </c>
      <c r="F44" s="21" t="s">
        <v>160</v>
      </c>
      <c r="G44" s="20" t="s">
        <v>161</v>
      </c>
      <c r="H44" s="20" t="s">
        <v>162</v>
      </c>
      <c r="I44" s="20" t="s">
        <v>163</v>
      </c>
      <c r="J44" s="22"/>
      <c r="K44" s="19" t="s">
        <v>164</v>
      </c>
      <c r="L44" s="20" t="str">
        <f>"111,7620"</f>
        <v>111,7620</v>
      </c>
      <c r="M44" s="21" t="s">
        <v>21</v>
      </c>
    </row>
    <row r="45" spans="1:13" ht="12.75">
      <c r="A45" s="19" t="s">
        <v>165</v>
      </c>
      <c r="B45" s="20" t="s">
        <v>166</v>
      </c>
      <c r="C45" s="20" t="s">
        <v>167</v>
      </c>
      <c r="D45" s="20" t="str">
        <f>"0,6382"</f>
        <v>0,6382</v>
      </c>
      <c r="E45" s="21" t="s">
        <v>16</v>
      </c>
      <c r="F45" s="21" t="s">
        <v>17</v>
      </c>
      <c r="G45" s="20" t="s">
        <v>161</v>
      </c>
      <c r="H45" s="20" t="s">
        <v>168</v>
      </c>
      <c r="I45" s="22" t="s">
        <v>162</v>
      </c>
      <c r="J45" s="22"/>
      <c r="K45" s="19" t="s">
        <v>169</v>
      </c>
      <c r="L45" s="20" t="str">
        <f>"110,0895"</f>
        <v>110,0895</v>
      </c>
      <c r="M45" s="21" t="s">
        <v>21</v>
      </c>
    </row>
    <row r="46" spans="1:13" ht="12.75">
      <c r="A46" s="19" t="s">
        <v>170</v>
      </c>
      <c r="B46" s="20" t="s">
        <v>171</v>
      </c>
      <c r="C46" s="20" t="s">
        <v>172</v>
      </c>
      <c r="D46" s="20" t="str">
        <f>"0,6214"</f>
        <v>0,6214</v>
      </c>
      <c r="E46" s="21" t="s">
        <v>173</v>
      </c>
      <c r="F46" s="21" t="s">
        <v>174</v>
      </c>
      <c r="G46" s="20" t="s">
        <v>175</v>
      </c>
      <c r="H46" s="20" t="s">
        <v>168</v>
      </c>
      <c r="I46" s="22" t="s">
        <v>162</v>
      </c>
      <c r="J46" s="22"/>
      <c r="K46" s="19" t="s">
        <v>169</v>
      </c>
      <c r="L46" s="20" t="str">
        <f>"107,1915"</f>
        <v>107,1915</v>
      </c>
      <c r="M46" s="21" t="s">
        <v>21</v>
      </c>
    </row>
    <row r="47" spans="1:13" ht="12.75">
      <c r="A47" s="19" t="s">
        <v>176</v>
      </c>
      <c r="B47" s="20" t="s">
        <v>177</v>
      </c>
      <c r="C47" s="20" t="s">
        <v>178</v>
      </c>
      <c r="D47" s="20" t="str">
        <f>"0,6251"</f>
        <v>0,6251</v>
      </c>
      <c r="E47" s="21" t="s">
        <v>179</v>
      </c>
      <c r="F47" s="21" t="s">
        <v>80</v>
      </c>
      <c r="G47" s="22" t="s">
        <v>180</v>
      </c>
      <c r="H47" s="20" t="s">
        <v>180</v>
      </c>
      <c r="I47" s="22" t="s">
        <v>181</v>
      </c>
      <c r="J47" s="22"/>
      <c r="K47" s="19" t="s">
        <v>182</v>
      </c>
      <c r="L47" s="20" t="str">
        <f>"96,8905"</f>
        <v>96,8905</v>
      </c>
      <c r="M47" s="21" t="s">
        <v>21</v>
      </c>
    </row>
    <row r="48" spans="1:13" ht="12.75">
      <c r="A48" s="19" t="s">
        <v>183</v>
      </c>
      <c r="B48" s="20" t="s">
        <v>184</v>
      </c>
      <c r="C48" s="20" t="s">
        <v>185</v>
      </c>
      <c r="D48" s="20" t="str">
        <f>"0,6563"</f>
        <v>0,6563</v>
      </c>
      <c r="E48" s="21" t="s">
        <v>34</v>
      </c>
      <c r="F48" s="21" t="s">
        <v>35</v>
      </c>
      <c r="G48" s="20" t="s">
        <v>186</v>
      </c>
      <c r="H48" s="22" t="s">
        <v>187</v>
      </c>
      <c r="I48" s="22" t="s">
        <v>187</v>
      </c>
      <c r="J48" s="22"/>
      <c r="K48" s="19" t="s">
        <v>188</v>
      </c>
      <c r="L48" s="20" t="str">
        <f>"95,1635"</f>
        <v>95,1635</v>
      </c>
      <c r="M48" s="21" t="s">
        <v>21</v>
      </c>
    </row>
    <row r="49" spans="1:13" ht="12.75">
      <c r="A49" s="19" t="s">
        <v>189</v>
      </c>
      <c r="B49" s="20" t="s">
        <v>190</v>
      </c>
      <c r="C49" s="20" t="s">
        <v>191</v>
      </c>
      <c r="D49" s="20" t="str">
        <f>"0,6193"</f>
        <v>0,6193</v>
      </c>
      <c r="E49" s="21" t="s">
        <v>107</v>
      </c>
      <c r="F49" s="21" t="s">
        <v>108</v>
      </c>
      <c r="G49" s="20" t="s">
        <v>192</v>
      </c>
      <c r="H49" s="22" t="s">
        <v>154</v>
      </c>
      <c r="I49" s="22" t="s">
        <v>154</v>
      </c>
      <c r="J49" s="22"/>
      <c r="K49" s="19" t="s">
        <v>193</v>
      </c>
      <c r="L49" s="20" t="str">
        <f>"80,5090"</f>
        <v>80,5090</v>
      </c>
      <c r="M49" s="21" t="s">
        <v>21</v>
      </c>
    </row>
    <row r="50" spans="1:13" ht="12.75">
      <c r="A50" s="19" t="s">
        <v>194</v>
      </c>
      <c r="B50" s="20" t="s">
        <v>195</v>
      </c>
      <c r="C50" s="20" t="s">
        <v>196</v>
      </c>
      <c r="D50" s="20" t="str">
        <f>"0,6246"</f>
        <v>0,6246</v>
      </c>
      <c r="E50" s="21" t="s">
        <v>97</v>
      </c>
      <c r="F50" s="21" t="s">
        <v>98</v>
      </c>
      <c r="G50" s="20" t="s">
        <v>110</v>
      </c>
      <c r="H50" s="20" t="s">
        <v>115</v>
      </c>
      <c r="I50" s="20" t="s">
        <v>143</v>
      </c>
      <c r="J50" s="22"/>
      <c r="K50" s="19" t="s">
        <v>144</v>
      </c>
      <c r="L50" s="20" t="str">
        <f>"62,4600"</f>
        <v>62,4600</v>
      </c>
      <c r="M50" s="21" t="s">
        <v>21</v>
      </c>
    </row>
    <row r="51" spans="1:13" ht="12.75">
      <c r="A51" s="19" t="s">
        <v>197</v>
      </c>
      <c r="B51" s="20" t="s">
        <v>198</v>
      </c>
      <c r="C51" s="20" t="s">
        <v>199</v>
      </c>
      <c r="D51" s="20" t="str">
        <f>"0,6203"</f>
        <v>0,6203</v>
      </c>
      <c r="E51" s="21" t="s">
        <v>97</v>
      </c>
      <c r="F51" s="21" t="s">
        <v>98</v>
      </c>
      <c r="G51" s="20" t="s">
        <v>154</v>
      </c>
      <c r="H51" s="20" t="s">
        <v>187</v>
      </c>
      <c r="I51" s="20" t="s">
        <v>181</v>
      </c>
      <c r="J51" s="22"/>
      <c r="K51" s="19" t="s">
        <v>200</v>
      </c>
      <c r="L51" s="20" t="str">
        <f>"113,5397"</f>
        <v>113,5397</v>
      </c>
      <c r="M51" s="21" t="s">
        <v>21</v>
      </c>
    </row>
    <row r="52" spans="1:13" ht="12.75">
      <c r="A52" s="19" t="s">
        <v>201</v>
      </c>
      <c r="B52" s="20" t="s">
        <v>202</v>
      </c>
      <c r="C52" s="20" t="s">
        <v>203</v>
      </c>
      <c r="D52" s="20" t="str">
        <f>"0,6361"</f>
        <v>0,6361</v>
      </c>
      <c r="E52" s="21" t="s">
        <v>133</v>
      </c>
      <c r="F52" s="21" t="s">
        <v>160</v>
      </c>
      <c r="G52" s="20" t="s">
        <v>143</v>
      </c>
      <c r="H52" s="22" t="s">
        <v>204</v>
      </c>
      <c r="I52" s="22" t="s">
        <v>136</v>
      </c>
      <c r="J52" s="22"/>
      <c r="K52" s="19" t="s">
        <v>144</v>
      </c>
      <c r="L52" s="20" t="str">
        <f>"76,9045"</f>
        <v>76,9045</v>
      </c>
      <c r="M52" s="21" t="s">
        <v>21</v>
      </c>
    </row>
    <row r="53" spans="1:13" ht="12.75">
      <c r="A53" s="19" t="s">
        <v>205</v>
      </c>
      <c r="B53" s="20" t="s">
        <v>206</v>
      </c>
      <c r="C53" s="20" t="s">
        <v>207</v>
      </c>
      <c r="D53" s="20" t="str">
        <f>"0,6238"</f>
        <v>0,6238</v>
      </c>
      <c r="E53" s="21" t="s">
        <v>208</v>
      </c>
      <c r="F53" s="21" t="s">
        <v>209</v>
      </c>
      <c r="G53" s="20" t="s">
        <v>136</v>
      </c>
      <c r="H53" s="22" t="s">
        <v>91</v>
      </c>
      <c r="I53" s="22" t="s">
        <v>82</v>
      </c>
      <c r="J53" s="22"/>
      <c r="K53" s="19" t="s">
        <v>137</v>
      </c>
      <c r="L53" s="20" t="str">
        <f>"112,8766"</f>
        <v>112,8766</v>
      </c>
      <c r="M53" s="21" t="s">
        <v>21</v>
      </c>
    </row>
    <row r="54" spans="1:13" ht="12.75">
      <c r="A54" s="15" t="s">
        <v>210</v>
      </c>
      <c r="B54" s="16" t="s">
        <v>211</v>
      </c>
      <c r="C54" s="16" t="s">
        <v>212</v>
      </c>
      <c r="D54" s="16" t="str">
        <f>"0,6388"</f>
        <v>0,6388</v>
      </c>
      <c r="E54" s="17" t="s">
        <v>133</v>
      </c>
      <c r="F54" s="17" t="s">
        <v>134</v>
      </c>
      <c r="G54" s="16" t="s">
        <v>149</v>
      </c>
      <c r="H54" s="16" t="s">
        <v>135</v>
      </c>
      <c r="I54" s="18" t="s">
        <v>136</v>
      </c>
      <c r="J54" s="18"/>
      <c r="K54" s="15" t="s">
        <v>213</v>
      </c>
      <c r="L54" s="16" t="str">
        <f>"143,0417"</f>
        <v>143,0417</v>
      </c>
      <c r="M54" s="17" t="s">
        <v>21</v>
      </c>
    </row>
    <row r="56" spans="1:12" ht="15.75">
      <c r="A56" s="33" t="s">
        <v>214</v>
      </c>
      <c r="B56" s="34"/>
      <c r="C56" s="34"/>
      <c r="D56" s="34"/>
      <c r="E56" s="34"/>
      <c r="F56" s="34"/>
      <c r="G56" s="34"/>
      <c r="H56" s="34"/>
      <c r="I56" s="34"/>
      <c r="J56" s="34"/>
      <c r="K56" s="33"/>
      <c r="L56" s="34"/>
    </row>
    <row r="57" spans="1:13" ht="12.75">
      <c r="A57" s="11" t="s">
        <v>215</v>
      </c>
      <c r="B57" s="12" t="s">
        <v>216</v>
      </c>
      <c r="C57" s="12" t="s">
        <v>217</v>
      </c>
      <c r="D57" s="12" t="str">
        <f>"0,5916"</f>
        <v>0,5916</v>
      </c>
      <c r="E57" s="13" t="s">
        <v>50</v>
      </c>
      <c r="F57" s="13" t="s">
        <v>51</v>
      </c>
      <c r="G57" s="12" t="s">
        <v>218</v>
      </c>
      <c r="H57" s="14" t="s">
        <v>219</v>
      </c>
      <c r="I57" s="14" t="s">
        <v>219</v>
      </c>
      <c r="J57" s="14"/>
      <c r="K57" s="11" t="s">
        <v>220</v>
      </c>
      <c r="L57" s="12" t="str">
        <f>"75,4290"</f>
        <v>75,4290</v>
      </c>
      <c r="M57" s="13" t="s">
        <v>21</v>
      </c>
    </row>
    <row r="58" spans="1:13" ht="12.75">
      <c r="A58" s="19" t="s">
        <v>221</v>
      </c>
      <c r="B58" s="20" t="s">
        <v>222</v>
      </c>
      <c r="C58" s="20" t="s">
        <v>223</v>
      </c>
      <c r="D58" s="20" t="str">
        <f>"0,5887"</f>
        <v>0,5887</v>
      </c>
      <c r="E58" s="21" t="s">
        <v>50</v>
      </c>
      <c r="F58" s="21" t="s">
        <v>51</v>
      </c>
      <c r="G58" s="20" t="s">
        <v>162</v>
      </c>
      <c r="H58" s="20" t="s">
        <v>224</v>
      </c>
      <c r="I58" s="22" t="s">
        <v>225</v>
      </c>
      <c r="J58" s="22"/>
      <c r="K58" s="19" t="s">
        <v>226</v>
      </c>
      <c r="L58" s="20" t="str">
        <f>"107,4377"</f>
        <v>107,4377</v>
      </c>
      <c r="M58" s="21" t="s">
        <v>21</v>
      </c>
    </row>
    <row r="59" spans="1:13" ht="12.75">
      <c r="A59" s="19" t="s">
        <v>227</v>
      </c>
      <c r="B59" s="20" t="s">
        <v>228</v>
      </c>
      <c r="C59" s="20" t="s">
        <v>229</v>
      </c>
      <c r="D59" s="20" t="str">
        <f>"0,5905"</f>
        <v>0,5905</v>
      </c>
      <c r="E59" s="21" t="s">
        <v>42</v>
      </c>
      <c r="F59" s="21" t="s">
        <v>43</v>
      </c>
      <c r="G59" s="20" t="s">
        <v>168</v>
      </c>
      <c r="H59" s="20" t="s">
        <v>162</v>
      </c>
      <c r="I59" s="22" t="s">
        <v>230</v>
      </c>
      <c r="J59" s="22"/>
      <c r="K59" s="19" t="s">
        <v>231</v>
      </c>
      <c r="L59" s="20" t="str">
        <f>"103,3375"</f>
        <v>103,3375</v>
      </c>
      <c r="M59" s="21" t="s">
        <v>21</v>
      </c>
    </row>
    <row r="60" spans="1:13" ht="12.75">
      <c r="A60" s="19" t="s">
        <v>232</v>
      </c>
      <c r="B60" s="20" t="s">
        <v>233</v>
      </c>
      <c r="C60" s="20" t="s">
        <v>234</v>
      </c>
      <c r="D60" s="20" t="str">
        <f>"0,6083"</f>
        <v>0,6083</v>
      </c>
      <c r="E60" s="21" t="s">
        <v>50</v>
      </c>
      <c r="F60" s="21" t="s">
        <v>51</v>
      </c>
      <c r="G60" s="20" t="s">
        <v>180</v>
      </c>
      <c r="H60" s="20" t="s">
        <v>235</v>
      </c>
      <c r="I60" s="20" t="s">
        <v>175</v>
      </c>
      <c r="J60" s="22"/>
      <c r="K60" s="19" t="s">
        <v>236</v>
      </c>
      <c r="L60" s="20" t="str">
        <f>"100,3695"</f>
        <v>100,3695</v>
      </c>
      <c r="M60" s="21" t="s">
        <v>21</v>
      </c>
    </row>
    <row r="61" spans="1:13" ht="12.75">
      <c r="A61" s="19" t="s">
        <v>237</v>
      </c>
      <c r="B61" s="20" t="s">
        <v>238</v>
      </c>
      <c r="C61" s="20" t="s">
        <v>239</v>
      </c>
      <c r="D61" s="20" t="str">
        <f>"0,5877"</f>
        <v>0,5877</v>
      </c>
      <c r="E61" s="21" t="s">
        <v>173</v>
      </c>
      <c r="F61" s="21" t="s">
        <v>174</v>
      </c>
      <c r="G61" s="20" t="s">
        <v>180</v>
      </c>
      <c r="H61" s="20" t="s">
        <v>235</v>
      </c>
      <c r="I61" s="20" t="s">
        <v>175</v>
      </c>
      <c r="J61" s="22"/>
      <c r="K61" s="19" t="s">
        <v>236</v>
      </c>
      <c r="L61" s="20" t="str">
        <f>"96,9705"</f>
        <v>96,9705</v>
      </c>
      <c r="M61" s="21" t="s">
        <v>21</v>
      </c>
    </row>
    <row r="62" spans="1:13" ht="12.75">
      <c r="A62" s="19" t="s">
        <v>240</v>
      </c>
      <c r="B62" s="20" t="s">
        <v>241</v>
      </c>
      <c r="C62" s="20" t="s">
        <v>242</v>
      </c>
      <c r="D62" s="20" t="str">
        <f>"0,6015"</f>
        <v>0,6015</v>
      </c>
      <c r="E62" s="21" t="s">
        <v>243</v>
      </c>
      <c r="F62" s="21" t="s">
        <v>244</v>
      </c>
      <c r="G62" s="22" t="s">
        <v>187</v>
      </c>
      <c r="H62" s="20" t="s">
        <v>180</v>
      </c>
      <c r="I62" s="22" t="s">
        <v>181</v>
      </c>
      <c r="J62" s="22"/>
      <c r="K62" s="19" t="s">
        <v>182</v>
      </c>
      <c r="L62" s="20" t="str">
        <f>"93,2402"</f>
        <v>93,2402</v>
      </c>
      <c r="M62" s="21" t="s">
        <v>21</v>
      </c>
    </row>
    <row r="63" spans="1:13" ht="12.75">
      <c r="A63" s="19" t="s">
        <v>245</v>
      </c>
      <c r="B63" s="20" t="s">
        <v>246</v>
      </c>
      <c r="C63" s="20" t="s">
        <v>247</v>
      </c>
      <c r="D63" s="20" t="str">
        <f>"0,5941"</f>
        <v>0,5941</v>
      </c>
      <c r="E63" s="21" t="s">
        <v>133</v>
      </c>
      <c r="F63" s="21" t="s">
        <v>134</v>
      </c>
      <c r="G63" s="20" t="s">
        <v>192</v>
      </c>
      <c r="H63" s="20" t="s">
        <v>219</v>
      </c>
      <c r="I63" s="22" t="s">
        <v>248</v>
      </c>
      <c r="J63" s="22"/>
      <c r="K63" s="19" t="s">
        <v>249</v>
      </c>
      <c r="L63" s="20" t="str">
        <f>"80,2035"</f>
        <v>80,2035</v>
      </c>
      <c r="M63" s="21" t="s">
        <v>21</v>
      </c>
    </row>
    <row r="64" spans="1:13" ht="12.75">
      <c r="A64" s="19" t="s">
        <v>250</v>
      </c>
      <c r="B64" s="20" t="s">
        <v>251</v>
      </c>
      <c r="C64" s="20" t="s">
        <v>252</v>
      </c>
      <c r="D64" s="20" t="str">
        <f>"0,6069"</f>
        <v>0,6069</v>
      </c>
      <c r="E64" s="21" t="s">
        <v>107</v>
      </c>
      <c r="F64" s="21" t="s">
        <v>108</v>
      </c>
      <c r="G64" s="22" t="s">
        <v>181</v>
      </c>
      <c r="H64" s="22" t="s">
        <v>181</v>
      </c>
      <c r="I64" s="22" t="s">
        <v>82</v>
      </c>
      <c r="J64" s="22"/>
      <c r="K64" s="19" t="s">
        <v>68</v>
      </c>
      <c r="L64" s="20" t="str">
        <f>"0,0000"</f>
        <v>0,0000</v>
      </c>
      <c r="M64" s="21" t="s">
        <v>21</v>
      </c>
    </row>
    <row r="65" spans="1:13" ht="12.75">
      <c r="A65" s="19" t="s">
        <v>221</v>
      </c>
      <c r="B65" s="20" t="s">
        <v>253</v>
      </c>
      <c r="C65" s="20" t="s">
        <v>223</v>
      </c>
      <c r="D65" s="20" t="str">
        <f>"0,5887"</f>
        <v>0,5887</v>
      </c>
      <c r="E65" s="21" t="s">
        <v>50</v>
      </c>
      <c r="F65" s="21" t="s">
        <v>51</v>
      </c>
      <c r="G65" s="20" t="s">
        <v>162</v>
      </c>
      <c r="H65" s="20" t="s">
        <v>224</v>
      </c>
      <c r="I65" s="22" t="s">
        <v>225</v>
      </c>
      <c r="J65" s="22"/>
      <c r="K65" s="19" t="s">
        <v>226</v>
      </c>
      <c r="L65" s="20" t="str">
        <f>"120,0080"</f>
        <v>120,0080</v>
      </c>
      <c r="M65" s="21" t="s">
        <v>21</v>
      </c>
    </row>
    <row r="66" spans="1:13" ht="12.75">
      <c r="A66" s="15" t="s">
        <v>254</v>
      </c>
      <c r="B66" s="16" t="s">
        <v>255</v>
      </c>
      <c r="C66" s="16" t="s">
        <v>256</v>
      </c>
      <c r="D66" s="16" t="str">
        <f>"0,5861"</f>
        <v>0,5861</v>
      </c>
      <c r="E66" s="17" t="s">
        <v>97</v>
      </c>
      <c r="F66" s="17" t="s">
        <v>98</v>
      </c>
      <c r="G66" s="16" t="s">
        <v>135</v>
      </c>
      <c r="H66" s="18" t="s">
        <v>136</v>
      </c>
      <c r="I66" s="16" t="s">
        <v>257</v>
      </c>
      <c r="J66" s="18"/>
      <c r="K66" s="15" t="s">
        <v>258</v>
      </c>
      <c r="L66" s="16" t="str">
        <f>"90,9920"</f>
        <v>90,9920</v>
      </c>
      <c r="M66" s="17" t="s">
        <v>21</v>
      </c>
    </row>
    <row r="68" spans="1:12" ht="15.75">
      <c r="A68" s="33" t="s">
        <v>259</v>
      </c>
      <c r="B68" s="34"/>
      <c r="C68" s="34"/>
      <c r="D68" s="34"/>
      <c r="E68" s="34"/>
      <c r="F68" s="34"/>
      <c r="G68" s="34"/>
      <c r="H68" s="34"/>
      <c r="I68" s="34"/>
      <c r="J68" s="34"/>
      <c r="K68" s="33"/>
      <c r="L68" s="34"/>
    </row>
    <row r="69" spans="1:13" ht="12.75">
      <c r="A69" s="11" t="s">
        <v>260</v>
      </c>
      <c r="B69" s="12" t="s">
        <v>261</v>
      </c>
      <c r="C69" s="12" t="s">
        <v>262</v>
      </c>
      <c r="D69" s="12" t="str">
        <f>"0,5563"</f>
        <v>0,5563</v>
      </c>
      <c r="E69" s="13" t="s">
        <v>50</v>
      </c>
      <c r="F69" s="13" t="s">
        <v>51</v>
      </c>
      <c r="G69" s="14" t="s">
        <v>161</v>
      </c>
      <c r="H69" s="12" t="s">
        <v>162</v>
      </c>
      <c r="I69" s="12" t="s">
        <v>224</v>
      </c>
      <c r="J69" s="14"/>
      <c r="K69" s="11" t="s">
        <v>226</v>
      </c>
      <c r="L69" s="12" t="str">
        <f>"101,5247"</f>
        <v>101,5247</v>
      </c>
      <c r="M69" s="13" t="s">
        <v>21</v>
      </c>
    </row>
    <row r="70" spans="1:13" ht="12.75">
      <c r="A70" s="19" t="s">
        <v>263</v>
      </c>
      <c r="B70" s="20" t="s">
        <v>264</v>
      </c>
      <c r="C70" s="20" t="s">
        <v>265</v>
      </c>
      <c r="D70" s="20" t="str">
        <f>"0,5553"</f>
        <v>0,5553</v>
      </c>
      <c r="E70" s="21" t="s">
        <v>179</v>
      </c>
      <c r="F70" s="21" t="s">
        <v>80</v>
      </c>
      <c r="G70" s="20" t="s">
        <v>187</v>
      </c>
      <c r="H70" s="20" t="s">
        <v>235</v>
      </c>
      <c r="I70" s="22" t="s">
        <v>175</v>
      </c>
      <c r="J70" s="22"/>
      <c r="K70" s="19" t="s">
        <v>266</v>
      </c>
      <c r="L70" s="20" t="str">
        <f>"92,9433"</f>
        <v>92,9433</v>
      </c>
      <c r="M70" s="21" t="s">
        <v>21</v>
      </c>
    </row>
    <row r="71" spans="1:13" ht="12.75">
      <c r="A71" s="19" t="s">
        <v>267</v>
      </c>
      <c r="B71" s="20" t="s">
        <v>268</v>
      </c>
      <c r="C71" s="20" t="s">
        <v>269</v>
      </c>
      <c r="D71" s="20" t="str">
        <f>"0,5701"</f>
        <v>0,5701</v>
      </c>
      <c r="E71" s="21" t="s">
        <v>34</v>
      </c>
      <c r="F71" s="21" t="s">
        <v>35</v>
      </c>
      <c r="G71" s="20" t="s">
        <v>187</v>
      </c>
      <c r="H71" s="20" t="s">
        <v>270</v>
      </c>
      <c r="I71" s="22" t="s">
        <v>235</v>
      </c>
      <c r="J71" s="22"/>
      <c r="K71" s="19" t="s">
        <v>271</v>
      </c>
      <c r="L71" s="20" t="str">
        <f>"89,7908"</f>
        <v>89,7908</v>
      </c>
      <c r="M71" s="21" t="s">
        <v>21</v>
      </c>
    </row>
    <row r="72" spans="1:13" ht="12.75">
      <c r="A72" s="19" t="s">
        <v>272</v>
      </c>
      <c r="B72" s="20" t="s">
        <v>273</v>
      </c>
      <c r="C72" s="20" t="s">
        <v>274</v>
      </c>
      <c r="D72" s="20" t="str">
        <f>"0,5543"</f>
        <v>0,5543</v>
      </c>
      <c r="E72" s="21" t="s">
        <v>133</v>
      </c>
      <c r="F72" s="21" t="s">
        <v>275</v>
      </c>
      <c r="G72" s="20" t="s">
        <v>187</v>
      </c>
      <c r="H72" s="20" t="s">
        <v>180</v>
      </c>
      <c r="I72" s="22" t="s">
        <v>270</v>
      </c>
      <c r="J72" s="22"/>
      <c r="K72" s="19" t="s">
        <v>182</v>
      </c>
      <c r="L72" s="20" t="str">
        <f>"85,9165"</f>
        <v>85,9165</v>
      </c>
      <c r="M72" s="21" t="s">
        <v>21</v>
      </c>
    </row>
    <row r="73" spans="1:13" ht="12.75">
      <c r="A73" s="19" t="s">
        <v>276</v>
      </c>
      <c r="B73" s="20" t="s">
        <v>277</v>
      </c>
      <c r="C73" s="20" t="s">
        <v>278</v>
      </c>
      <c r="D73" s="20" t="str">
        <f>"0,5810"</f>
        <v>0,5810</v>
      </c>
      <c r="E73" s="21" t="s">
        <v>141</v>
      </c>
      <c r="F73" s="21" t="s">
        <v>142</v>
      </c>
      <c r="G73" s="20" t="s">
        <v>92</v>
      </c>
      <c r="H73" s="22" t="s">
        <v>192</v>
      </c>
      <c r="I73" s="22" t="s">
        <v>154</v>
      </c>
      <c r="J73" s="22"/>
      <c r="K73" s="19" t="s">
        <v>279</v>
      </c>
      <c r="L73" s="20" t="str">
        <f>"69,7200"</f>
        <v>69,7200</v>
      </c>
      <c r="M73" s="21" t="s">
        <v>21</v>
      </c>
    </row>
    <row r="74" spans="1:13" ht="12.75">
      <c r="A74" s="19" t="s">
        <v>267</v>
      </c>
      <c r="B74" s="20" t="s">
        <v>280</v>
      </c>
      <c r="C74" s="20" t="s">
        <v>269</v>
      </c>
      <c r="D74" s="20" t="str">
        <f>"0,5701"</f>
        <v>0,5701</v>
      </c>
      <c r="E74" s="21" t="s">
        <v>34</v>
      </c>
      <c r="F74" s="21" t="s">
        <v>35</v>
      </c>
      <c r="G74" s="20" t="s">
        <v>187</v>
      </c>
      <c r="H74" s="20" t="s">
        <v>270</v>
      </c>
      <c r="I74" s="22" t="s">
        <v>235</v>
      </c>
      <c r="J74" s="22"/>
      <c r="K74" s="19" t="s">
        <v>271</v>
      </c>
      <c r="L74" s="20" t="str">
        <f>"89,7908"</f>
        <v>89,7908</v>
      </c>
      <c r="M74" s="21" t="s">
        <v>21</v>
      </c>
    </row>
    <row r="75" spans="1:13" ht="12.75">
      <c r="A75" s="15" t="s">
        <v>281</v>
      </c>
      <c r="B75" s="16" t="s">
        <v>282</v>
      </c>
      <c r="C75" s="16" t="s">
        <v>283</v>
      </c>
      <c r="D75" s="16" t="str">
        <f>"0,5574"</f>
        <v>0,5574</v>
      </c>
      <c r="E75" s="17" t="s">
        <v>133</v>
      </c>
      <c r="F75" s="17" t="s">
        <v>284</v>
      </c>
      <c r="G75" s="16" t="s">
        <v>285</v>
      </c>
      <c r="H75" s="16" t="s">
        <v>168</v>
      </c>
      <c r="I75" s="18" t="s">
        <v>230</v>
      </c>
      <c r="J75" s="18"/>
      <c r="K75" s="15" t="s">
        <v>169</v>
      </c>
      <c r="L75" s="16" t="str">
        <f>"107,4012"</f>
        <v>107,4012</v>
      </c>
      <c r="M75" s="17" t="s">
        <v>21</v>
      </c>
    </row>
    <row r="77" spans="1:12" ht="15.75">
      <c r="A77" s="33" t="s">
        <v>286</v>
      </c>
      <c r="B77" s="34"/>
      <c r="C77" s="34"/>
      <c r="D77" s="34"/>
      <c r="E77" s="34"/>
      <c r="F77" s="34"/>
      <c r="G77" s="34"/>
      <c r="H77" s="34"/>
      <c r="I77" s="34"/>
      <c r="J77" s="34"/>
      <c r="K77" s="33"/>
      <c r="L77" s="34"/>
    </row>
    <row r="78" spans="1:13" ht="12.75">
      <c r="A78" s="11" t="s">
        <v>287</v>
      </c>
      <c r="B78" s="12" t="s">
        <v>288</v>
      </c>
      <c r="C78" s="12" t="s">
        <v>289</v>
      </c>
      <c r="D78" s="12" t="str">
        <f>"0,5452"</f>
        <v>0,5452</v>
      </c>
      <c r="E78" s="13" t="s">
        <v>141</v>
      </c>
      <c r="F78" s="13" t="s">
        <v>142</v>
      </c>
      <c r="G78" s="12" t="s">
        <v>162</v>
      </c>
      <c r="H78" s="12" t="s">
        <v>225</v>
      </c>
      <c r="I78" s="14" t="s">
        <v>290</v>
      </c>
      <c r="J78" s="14"/>
      <c r="K78" s="11" t="s">
        <v>291</v>
      </c>
      <c r="L78" s="12" t="str">
        <f>"100,8620"</f>
        <v>100,8620</v>
      </c>
      <c r="M78" s="13" t="s">
        <v>21</v>
      </c>
    </row>
    <row r="79" spans="1:13" ht="12.75">
      <c r="A79" s="19" t="s">
        <v>292</v>
      </c>
      <c r="B79" s="20" t="s">
        <v>293</v>
      </c>
      <c r="C79" s="20" t="s">
        <v>294</v>
      </c>
      <c r="D79" s="20" t="str">
        <f>"0,5391"</f>
        <v>0,5391</v>
      </c>
      <c r="E79" s="21" t="s">
        <v>34</v>
      </c>
      <c r="F79" s="21" t="s">
        <v>35</v>
      </c>
      <c r="G79" s="22" t="s">
        <v>187</v>
      </c>
      <c r="H79" s="22" t="s">
        <v>181</v>
      </c>
      <c r="I79" s="20" t="s">
        <v>181</v>
      </c>
      <c r="J79" s="22"/>
      <c r="K79" s="19" t="s">
        <v>200</v>
      </c>
      <c r="L79" s="20" t="str">
        <f>"86,2560"</f>
        <v>86,2560</v>
      </c>
      <c r="M79" s="21" t="s">
        <v>21</v>
      </c>
    </row>
    <row r="80" spans="1:13" ht="12.75">
      <c r="A80" s="15" t="s">
        <v>295</v>
      </c>
      <c r="B80" s="16" t="s">
        <v>296</v>
      </c>
      <c r="C80" s="16" t="s">
        <v>297</v>
      </c>
      <c r="D80" s="16" t="str">
        <f>"0,5421"</f>
        <v>0,5421</v>
      </c>
      <c r="E80" s="17" t="s">
        <v>298</v>
      </c>
      <c r="F80" s="17" t="s">
        <v>299</v>
      </c>
      <c r="G80" s="16" t="s">
        <v>187</v>
      </c>
      <c r="H80" s="16" t="s">
        <v>180</v>
      </c>
      <c r="I80" s="16" t="s">
        <v>181</v>
      </c>
      <c r="J80" s="18"/>
      <c r="K80" s="15" t="s">
        <v>200</v>
      </c>
      <c r="L80" s="16" t="str">
        <f>"133,1398"</f>
        <v>133,1398</v>
      </c>
      <c r="M80" s="17" t="s">
        <v>21</v>
      </c>
    </row>
    <row r="82" spans="1:12" ht="15.75">
      <c r="A82" s="33" t="s">
        <v>300</v>
      </c>
      <c r="B82" s="34"/>
      <c r="C82" s="34"/>
      <c r="D82" s="34"/>
      <c r="E82" s="34"/>
      <c r="F82" s="34"/>
      <c r="G82" s="34"/>
      <c r="H82" s="34"/>
      <c r="I82" s="34"/>
      <c r="J82" s="34"/>
      <c r="K82" s="33"/>
      <c r="L82" s="34"/>
    </row>
    <row r="83" spans="1:13" ht="12.75">
      <c r="A83" s="11" t="s">
        <v>301</v>
      </c>
      <c r="B83" s="12" t="s">
        <v>302</v>
      </c>
      <c r="C83" s="12" t="s">
        <v>303</v>
      </c>
      <c r="D83" s="12" t="str">
        <f>"0,5283"</f>
        <v>0,5283</v>
      </c>
      <c r="E83" s="13" t="s">
        <v>34</v>
      </c>
      <c r="F83" s="13" t="s">
        <v>35</v>
      </c>
      <c r="G83" s="12" t="s">
        <v>161</v>
      </c>
      <c r="H83" s="12" t="s">
        <v>163</v>
      </c>
      <c r="I83" s="12" t="s">
        <v>225</v>
      </c>
      <c r="J83" s="14"/>
      <c r="K83" s="11" t="s">
        <v>291</v>
      </c>
      <c r="L83" s="12" t="str">
        <f>"98,6151"</f>
        <v>98,6151</v>
      </c>
      <c r="M83" s="13" t="s">
        <v>21</v>
      </c>
    </row>
    <row r="84" spans="1:13" ht="12.75">
      <c r="A84" s="19" t="s">
        <v>304</v>
      </c>
      <c r="B84" s="20" t="s">
        <v>305</v>
      </c>
      <c r="C84" s="20" t="s">
        <v>306</v>
      </c>
      <c r="D84" s="20" t="str">
        <f>"0,5210"</f>
        <v>0,5210</v>
      </c>
      <c r="E84" s="21" t="s">
        <v>307</v>
      </c>
      <c r="F84" s="21" t="s">
        <v>308</v>
      </c>
      <c r="G84" s="20" t="s">
        <v>181</v>
      </c>
      <c r="H84" s="22" t="s">
        <v>161</v>
      </c>
      <c r="I84" s="20" t="s">
        <v>161</v>
      </c>
      <c r="J84" s="22"/>
      <c r="K84" s="19" t="s">
        <v>309</v>
      </c>
      <c r="L84" s="20" t="str">
        <f>"88,8357"</f>
        <v>88,8357</v>
      </c>
      <c r="M84" s="21" t="s">
        <v>21</v>
      </c>
    </row>
    <row r="85" spans="1:13" ht="12.75">
      <c r="A85" s="15" t="s">
        <v>310</v>
      </c>
      <c r="B85" s="16" t="s">
        <v>311</v>
      </c>
      <c r="C85" s="16" t="s">
        <v>312</v>
      </c>
      <c r="D85" s="16" t="str">
        <f>"0,5250"</f>
        <v>0,5250</v>
      </c>
      <c r="E85" s="17" t="s">
        <v>179</v>
      </c>
      <c r="F85" s="17" t="s">
        <v>51</v>
      </c>
      <c r="G85" s="16" t="s">
        <v>154</v>
      </c>
      <c r="H85" s="16" t="s">
        <v>313</v>
      </c>
      <c r="I85" s="16" t="s">
        <v>181</v>
      </c>
      <c r="J85" s="18"/>
      <c r="K85" s="15" t="s">
        <v>200</v>
      </c>
      <c r="L85" s="16" t="str">
        <f>"115,9090"</f>
        <v>115,9090</v>
      </c>
      <c r="M85" s="17" t="s">
        <v>21</v>
      </c>
    </row>
    <row r="87" spans="1:12" ht="15.75">
      <c r="A87" s="33" t="s">
        <v>314</v>
      </c>
      <c r="B87" s="34"/>
      <c r="C87" s="34"/>
      <c r="D87" s="34"/>
      <c r="E87" s="34"/>
      <c r="F87" s="34"/>
      <c r="G87" s="34"/>
      <c r="H87" s="34"/>
      <c r="I87" s="34"/>
      <c r="J87" s="34"/>
      <c r="K87" s="33"/>
      <c r="L87" s="34"/>
    </row>
    <row r="88" spans="1:13" ht="12.75">
      <c r="A88" s="11" t="s">
        <v>315</v>
      </c>
      <c r="B88" s="12" t="s">
        <v>316</v>
      </c>
      <c r="C88" s="12" t="s">
        <v>317</v>
      </c>
      <c r="D88" s="12" t="str">
        <f>"0,4924"</f>
        <v>0,4924</v>
      </c>
      <c r="E88" s="13" t="s">
        <v>97</v>
      </c>
      <c r="F88" s="13" t="s">
        <v>98</v>
      </c>
      <c r="G88" s="12" t="s">
        <v>290</v>
      </c>
      <c r="H88" s="12" t="s">
        <v>318</v>
      </c>
      <c r="I88" s="12" t="s">
        <v>319</v>
      </c>
      <c r="J88" s="14"/>
      <c r="K88" s="11" t="s">
        <v>320</v>
      </c>
      <c r="L88" s="12" t="str">
        <f>"103,4040"</f>
        <v>103,4040</v>
      </c>
      <c r="M88" s="13" t="s">
        <v>21</v>
      </c>
    </row>
    <row r="89" spans="1:13" ht="12.75">
      <c r="A89" s="15" t="s">
        <v>321</v>
      </c>
      <c r="B89" s="16" t="s">
        <v>322</v>
      </c>
      <c r="C89" s="16" t="s">
        <v>323</v>
      </c>
      <c r="D89" s="16" t="str">
        <f>"0,4988"</f>
        <v>0,4988</v>
      </c>
      <c r="E89" s="17" t="s">
        <v>34</v>
      </c>
      <c r="F89" s="17" t="s">
        <v>35</v>
      </c>
      <c r="G89" s="16" t="s">
        <v>270</v>
      </c>
      <c r="H89" s="16" t="s">
        <v>235</v>
      </c>
      <c r="I89" s="16" t="s">
        <v>285</v>
      </c>
      <c r="J89" s="18"/>
      <c r="K89" s="15" t="s">
        <v>324</v>
      </c>
      <c r="L89" s="16" t="str">
        <f>"83,5440"</f>
        <v>83,5440</v>
      </c>
      <c r="M89" s="17" t="s">
        <v>21</v>
      </c>
    </row>
    <row r="91" ht="15.75">
      <c r="E91" s="23" t="s">
        <v>325</v>
      </c>
    </row>
    <row r="92" ht="15.75">
      <c r="E92" s="23" t="s">
        <v>326</v>
      </c>
    </row>
    <row r="93" ht="15.75">
      <c r="E93" s="23" t="s">
        <v>327</v>
      </c>
    </row>
    <row r="94" ht="15.75">
      <c r="E94" s="23" t="s">
        <v>328</v>
      </c>
    </row>
    <row r="95" ht="15.75">
      <c r="E95" s="23" t="s">
        <v>328</v>
      </c>
    </row>
    <row r="96" ht="15.75">
      <c r="E96" s="23" t="s">
        <v>329</v>
      </c>
    </row>
    <row r="97" ht="15.75">
      <c r="E97" s="23"/>
    </row>
    <row r="99" spans="1:2" ht="18">
      <c r="A99" s="24" t="s">
        <v>330</v>
      </c>
      <c r="B99" s="25"/>
    </row>
    <row r="100" spans="1:2" ht="15.75">
      <c r="A100" s="26" t="s">
        <v>331</v>
      </c>
      <c r="B100" s="10"/>
    </row>
    <row r="101" spans="1:2" ht="13.5">
      <c r="A101" s="28"/>
      <c r="B101" s="29" t="s">
        <v>332</v>
      </c>
    </row>
    <row r="102" spans="1:5" ht="13.5">
      <c r="A102" s="30" t="s">
        <v>333</v>
      </c>
      <c r="B102" s="30" t="s">
        <v>334</v>
      </c>
      <c r="C102" s="30" t="s">
        <v>335</v>
      </c>
      <c r="D102" s="30" t="s">
        <v>336</v>
      </c>
      <c r="E102" s="30" t="s">
        <v>337</v>
      </c>
    </row>
    <row r="103" spans="1:5" ht="12.75">
      <c r="A103" s="27" t="s">
        <v>23</v>
      </c>
      <c r="B103" s="1" t="s">
        <v>332</v>
      </c>
      <c r="C103" s="1" t="s">
        <v>338</v>
      </c>
      <c r="D103" s="1" t="s">
        <v>29</v>
      </c>
      <c r="E103" s="4" t="s">
        <v>339</v>
      </c>
    </row>
    <row r="104" spans="1:5" ht="12.75">
      <c r="A104" s="27" t="s">
        <v>57</v>
      </c>
      <c r="B104" s="1" t="s">
        <v>332</v>
      </c>
      <c r="C104" s="1" t="s">
        <v>340</v>
      </c>
      <c r="D104" s="1" t="s">
        <v>60</v>
      </c>
      <c r="E104" s="4" t="s">
        <v>341</v>
      </c>
    </row>
    <row r="105" spans="1:5" ht="12.75">
      <c r="A105" s="27" t="s">
        <v>13</v>
      </c>
      <c r="B105" s="1" t="s">
        <v>332</v>
      </c>
      <c r="C105" s="1" t="s">
        <v>342</v>
      </c>
      <c r="D105" s="1" t="s">
        <v>19</v>
      </c>
      <c r="E105" s="4" t="s">
        <v>343</v>
      </c>
    </row>
    <row r="106" spans="1:5" ht="12.75">
      <c r="A106" s="27" t="s">
        <v>39</v>
      </c>
      <c r="B106" s="1" t="s">
        <v>332</v>
      </c>
      <c r="C106" s="1" t="s">
        <v>344</v>
      </c>
      <c r="D106" s="1" t="s">
        <v>44</v>
      </c>
      <c r="E106" s="4" t="s">
        <v>345</v>
      </c>
    </row>
    <row r="107" spans="1:5" ht="12.75">
      <c r="A107" s="27" t="s">
        <v>31</v>
      </c>
      <c r="B107" s="1" t="s">
        <v>332</v>
      </c>
      <c r="C107" s="1" t="s">
        <v>338</v>
      </c>
      <c r="D107" s="1" t="s">
        <v>18</v>
      </c>
      <c r="E107" s="4" t="s">
        <v>346</v>
      </c>
    </row>
    <row r="109" spans="1:2" ht="13.5">
      <c r="A109" s="28"/>
      <c r="B109" s="29" t="s">
        <v>347</v>
      </c>
    </row>
    <row r="110" spans="1:5" ht="13.5">
      <c r="A110" s="30" t="s">
        <v>333</v>
      </c>
      <c r="B110" s="30" t="s">
        <v>334</v>
      </c>
      <c r="C110" s="30" t="s">
        <v>335</v>
      </c>
      <c r="D110" s="30" t="s">
        <v>336</v>
      </c>
      <c r="E110" s="30" t="s">
        <v>337</v>
      </c>
    </row>
    <row r="111" spans="1:5" ht="12.75">
      <c r="A111" s="27" t="s">
        <v>69</v>
      </c>
      <c r="B111" s="1" t="s">
        <v>348</v>
      </c>
      <c r="C111" s="1" t="s">
        <v>340</v>
      </c>
      <c r="D111" s="1" t="s">
        <v>28</v>
      </c>
      <c r="E111" s="4" t="s">
        <v>349</v>
      </c>
    </row>
    <row r="112" spans="1:5" ht="12.75">
      <c r="A112" s="27" t="s">
        <v>47</v>
      </c>
      <c r="B112" s="1" t="s">
        <v>350</v>
      </c>
      <c r="C112" s="1" t="s">
        <v>344</v>
      </c>
      <c r="D112" s="1" t="s">
        <v>54</v>
      </c>
      <c r="E112" s="4" t="s">
        <v>351</v>
      </c>
    </row>
    <row r="115" spans="1:2" ht="15.75">
      <c r="A115" s="26" t="s">
        <v>352</v>
      </c>
      <c r="B115" s="10"/>
    </row>
    <row r="116" spans="1:2" ht="13.5">
      <c r="A116" s="28"/>
      <c r="B116" s="29" t="s">
        <v>353</v>
      </c>
    </row>
    <row r="117" spans="1:5" ht="13.5">
      <c r="A117" s="30" t="s">
        <v>333</v>
      </c>
      <c r="B117" s="30" t="s">
        <v>334</v>
      </c>
      <c r="C117" s="30" t="s">
        <v>335</v>
      </c>
      <c r="D117" s="30" t="s">
        <v>336</v>
      </c>
      <c r="E117" s="30" t="s">
        <v>337</v>
      </c>
    </row>
    <row r="118" spans="1:5" ht="12.75">
      <c r="A118" s="27" t="s">
        <v>104</v>
      </c>
      <c r="B118" s="1" t="s">
        <v>354</v>
      </c>
      <c r="C118" s="1" t="s">
        <v>355</v>
      </c>
      <c r="D118" s="1" t="s">
        <v>99</v>
      </c>
      <c r="E118" s="4" t="s">
        <v>356</v>
      </c>
    </row>
    <row r="119" spans="1:5" ht="12.75">
      <c r="A119" s="27" t="s">
        <v>112</v>
      </c>
      <c r="B119" s="1" t="s">
        <v>357</v>
      </c>
      <c r="C119" s="1" t="s">
        <v>355</v>
      </c>
      <c r="D119" s="1" t="s">
        <v>110</v>
      </c>
      <c r="E119" s="4" t="s">
        <v>358</v>
      </c>
    </row>
    <row r="120" spans="1:5" ht="12.75">
      <c r="A120" s="27" t="s">
        <v>84</v>
      </c>
      <c r="B120" s="1" t="s">
        <v>354</v>
      </c>
      <c r="C120" s="1" t="s">
        <v>344</v>
      </c>
      <c r="D120" s="1" t="s">
        <v>19</v>
      </c>
      <c r="E120" s="4" t="s">
        <v>359</v>
      </c>
    </row>
    <row r="121" spans="1:5" ht="12.75">
      <c r="A121" s="27" t="s">
        <v>76</v>
      </c>
      <c r="B121" s="1" t="s">
        <v>354</v>
      </c>
      <c r="C121" s="1" t="s">
        <v>338</v>
      </c>
      <c r="D121" s="1" t="s">
        <v>52</v>
      </c>
      <c r="E121" s="4" t="s">
        <v>360</v>
      </c>
    </row>
    <row r="123" spans="1:2" ht="13.5">
      <c r="A123" s="28"/>
      <c r="B123" s="29" t="s">
        <v>361</v>
      </c>
    </row>
    <row r="124" spans="1:5" ht="13.5">
      <c r="A124" s="30" t="s">
        <v>333</v>
      </c>
      <c r="B124" s="30" t="s">
        <v>334</v>
      </c>
      <c r="C124" s="30" t="s">
        <v>335</v>
      </c>
      <c r="D124" s="30" t="s">
        <v>336</v>
      </c>
      <c r="E124" s="30" t="s">
        <v>337</v>
      </c>
    </row>
    <row r="125" spans="1:5" ht="12.75">
      <c r="A125" s="27" t="s">
        <v>260</v>
      </c>
      <c r="B125" s="1" t="s">
        <v>362</v>
      </c>
      <c r="C125" s="1" t="s">
        <v>363</v>
      </c>
      <c r="D125" s="1" t="s">
        <v>224</v>
      </c>
      <c r="E125" s="4" t="s">
        <v>364</v>
      </c>
    </row>
    <row r="126" spans="1:5" ht="12.75">
      <c r="A126" s="27" t="s">
        <v>117</v>
      </c>
      <c r="B126" s="1" t="s">
        <v>362</v>
      </c>
      <c r="C126" s="1" t="s">
        <v>355</v>
      </c>
      <c r="D126" s="1" t="s">
        <v>120</v>
      </c>
      <c r="E126" s="4" t="s">
        <v>365</v>
      </c>
    </row>
    <row r="127" spans="1:5" ht="12.75">
      <c r="A127" s="27" t="s">
        <v>87</v>
      </c>
      <c r="B127" s="1" t="s">
        <v>362</v>
      </c>
      <c r="C127" s="1" t="s">
        <v>340</v>
      </c>
      <c r="D127" s="1" t="s">
        <v>91</v>
      </c>
      <c r="E127" s="4" t="s">
        <v>366</v>
      </c>
    </row>
    <row r="128" spans="1:5" ht="12.75">
      <c r="A128" s="27" t="s">
        <v>263</v>
      </c>
      <c r="B128" s="1" t="s">
        <v>362</v>
      </c>
      <c r="C128" s="1" t="s">
        <v>363</v>
      </c>
      <c r="D128" s="1" t="s">
        <v>235</v>
      </c>
      <c r="E128" s="4" t="s">
        <v>367</v>
      </c>
    </row>
    <row r="129" spans="1:5" ht="12.75">
      <c r="A129" s="27" t="s">
        <v>151</v>
      </c>
      <c r="B129" s="1" t="s">
        <v>362</v>
      </c>
      <c r="C129" s="1" t="s">
        <v>368</v>
      </c>
      <c r="D129" s="1" t="s">
        <v>154</v>
      </c>
      <c r="E129" s="4" t="s">
        <v>369</v>
      </c>
    </row>
    <row r="130" spans="1:5" ht="12.75">
      <c r="A130" s="27" t="s">
        <v>215</v>
      </c>
      <c r="B130" s="1" t="s">
        <v>362</v>
      </c>
      <c r="C130" s="1" t="s">
        <v>370</v>
      </c>
      <c r="D130" s="1" t="s">
        <v>218</v>
      </c>
      <c r="E130" s="4" t="s">
        <v>371</v>
      </c>
    </row>
    <row r="132" spans="1:2" ht="13.5">
      <c r="A132" s="28"/>
      <c r="B132" s="29" t="s">
        <v>332</v>
      </c>
    </row>
    <row r="133" spans="1:5" ht="13.5">
      <c r="A133" s="30" t="s">
        <v>333</v>
      </c>
      <c r="B133" s="30" t="s">
        <v>334</v>
      </c>
      <c r="C133" s="30" t="s">
        <v>335</v>
      </c>
      <c r="D133" s="30" t="s">
        <v>336</v>
      </c>
      <c r="E133" s="30" t="s">
        <v>337</v>
      </c>
    </row>
    <row r="134" spans="1:5" ht="12.75">
      <c r="A134" s="27" t="s">
        <v>157</v>
      </c>
      <c r="B134" s="1" t="s">
        <v>332</v>
      </c>
      <c r="C134" s="1" t="s">
        <v>368</v>
      </c>
      <c r="D134" s="1" t="s">
        <v>163</v>
      </c>
      <c r="E134" s="4" t="s">
        <v>372</v>
      </c>
    </row>
    <row r="135" spans="1:5" ht="12.75">
      <c r="A135" s="27" t="s">
        <v>165</v>
      </c>
      <c r="B135" s="1" t="s">
        <v>332</v>
      </c>
      <c r="C135" s="1" t="s">
        <v>368</v>
      </c>
      <c r="D135" s="1" t="s">
        <v>168</v>
      </c>
      <c r="E135" s="4" t="s">
        <v>373</v>
      </c>
    </row>
    <row r="136" spans="1:5" ht="12.75">
      <c r="A136" s="27" t="s">
        <v>221</v>
      </c>
      <c r="B136" s="1" t="s">
        <v>332</v>
      </c>
      <c r="C136" s="1" t="s">
        <v>370</v>
      </c>
      <c r="D136" s="1" t="s">
        <v>224</v>
      </c>
      <c r="E136" s="4" t="s">
        <v>374</v>
      </c>
    </row>
    <row r="137" spans="1:5" ht="12.75">
      <c r="A137" s="27" t="s">
        <v>170</v>
      </c>
      <c r="B137" s="1" t="s">
        <v>332</v>
      </c>
      <c r="C137" s="1" t="s">
        <v>368</v>
      </c>
      <c r="D137" s="1" t="s">
        <v>168</v>
      </c>
      <c r="E137" s="4" t="s">
        <v>375</v>
      </c>
    </row>
    <row r="138" spans="1:5" ht="12.75">
      <c r="A138" s="27" t="s">
        <v>315</v>
      </c>
      <c r="B138" s="1" t="s">
        <v>332</v>
      </c>
      <c r="C138" s="1" t="s">
        <v>376</v>
      </c>
      <c r="D138" s="1" t="s">
        <v>319</v>
      </c>
      <c r="E138" s="4" t="s">
        <v>377</v>
      </c>
    </row>
    <row r="139" spans="1:5" ht="12.75">
      <c r="A139" s="27" t="s">
        <v>227</v>
      </c>
      <c r="B139" s="1" t="s">
        <v>332</v>
      </c>
      <c r="C139" s="1" t="s">
        <v>370</v>
      </c>
      <c r="D139" s="1" t="s">
        <v>162</v>
      </c>
      <c r="E139" s="4" t="s">
        <v>378</v>
      </c>
    </row>
    <row r="140" spans="1:5" ht="12.75">
      <c r="A140" s="27" t="s">
        <v>287</v>
      </c>
      <c r="B140" s="1" t="s">
        <v>332</v>
      </c>
      <c r="C140" s="1" t="s">
        <v>379</v>
      </c>
      <c r="D140" s="1" t="s">
        <v>225</v>
      </c>
      <c r="E140" s="4" t="s">
        <v>380</v>
      </c>
    </row>
    <row r="141" spans="1:5" ht="12.75">
      <c r="A141" s="27" t="s">
        <v>232</v>
      </c>
      <c r="B141" s="1" t="s">
        <v>332</v>
      </c>
      <c r="C141" s="1" t="s">
        <v>370</v>
      </c>
      <c r="D141" s="1" t="s">
        <v>175</v>
      </c>
      <c r="E141" s="4" t="s">
        <v>381</v>
      </c>
    </row>
    <row r="142" spans="1:5" ht="12.75">
      <c r="A142" s="27" t="s">
        <v>237</v>
      </c>
      <c r="B142" s="1" t="s">
        <v>332</v>
      </c>
      <c r="C142" s="1" t="s">
        <v>370</v>
      </c>
      <c r="D142" s="1" t="s">
        <v>175</v>
      </c>
      <c r="E142" s="4" t="s">
        <v>382</v>
      </c>
    </row>
    <row r="143" spans="1:5" ht="12.75">
      <c r="A143" s="27" t="s">
        <v>176</v>
      </c>
      <c r="B143" s="1" t="s">
        <v>332</v>
      </c>
      <c r="C143" s="1" t="s">
        <v>368</v>
      </c>
      <c r="D143" s="1" t="s">
        <v>180</v>
      </c>
      <c r="E143" s="4" t="s">
        <v>383</v>
      </c>
    </row>
    <row r="144" spans="1:5" ht="12.75">
      <c r="A144" s="27" t="s">
        <v>183</v>
      </c>
      <c r="B144" s="1" t="s">
        <v>332</v>
      </c>
      <c r="C144" s="1" t="s">
        <v>368</v>
      </c>
      <c r="D144" s="1" t="s">
        <v>186</v>
      </c>
      <c r="E144" s="4" t="s">
        <v>384</v>
      </c>
    </row>
    <row r="145" spans="1:5" ht="12.75">
      <c r="A145" s="27" t="s">
        <v>240</v>
      </c>
      <c r="B145" s="1" t="s">
        <v>332</v>
      </c>
      <c r="C145" s="1" t="s">
        <v>370</v>
      </c>
      <c r="D145" s="1" t="s">
        <v>180</v>
      </c>
      <c r="E145" s="4" t="s">
        <v>385</v>
      </c>
    </row>
    <row r="146" spans="1:5" ht="12.75">
      <c r="A146" s="27" t="s">
        <v>267</v>
      </c>
      <c r="B146" s="1" t="s">
        <v>332</v>
      </c>
      <c r="C146" s="1" t="s">
        <v>363</v>
      </c>
      <c r="D146" s="1" t="s">
        <v>270</v>
      </c>
      <c r="E146" s="4" t="s">
        <v>386</v>
      </c>
    </row>
    <row r="147" spans="1:5" ht="12.75">
      <c r="A147" s="27" t="s">
        <v>292</v>
      </c>
      <c r="B147" s="1" t="s">
        <v>332</v>
      </c>
      <c r="C147" s="1" t="s">
        <v>379</v>
      </c>
      <c r="D147" s="1" t="s">
        <v>181</v>
      </c>
      <c r="E147" s="4" t="s">
        <v>387</v>
      </c>
    </row>
    <row r="148" spans="1:5" ht="12.75">
      <c r="A148" s="27" t="s">
        <v>272</v>
      </c>
      <c r="B148" s="1" t="s">
        <v>332</v>
      </c>
      <c r="C148" s="1" t="s">
        <v>363</v>
      </c>
      <c r="D148" s="1" t="s">
        <v>180</v>
      </c>
      <c r="E148" s="4" t="s">
        <v>388</v>
      </c>
    </row>
    <row r="149" spans="1:5" ht="12.75">
      <c r="A149" s="27" t="s">
        <v>321</v>
      </c>
      <c r="B149" s="1" t="s">
        <v>332</v>
      </c>
      <c r="C149" s="1" t="s">
        <v>376</v>
      </c>
      <c r="D149" s="1" t="s">
        <v>285</v>
      </c>
      <c r="E149" s="4" t="s">
        <v>389</v>
      </c>
    </row>
    <row r="150" spans="1:5" ht="12.75">
      <c r="A150" s="27" t="s">
        <v>189</v>
      </c>
      <c r="B150" s="1" t="s">
        <v>332</v>
      </c>
      <c r="C150" s="1" t="s">
        <v>368</v>
      </c>
      <c r="D150" s="1" t="s">
        <v>192</v>
      </c>
      <c r="E150" s="4" t="s">
        <v>390</v>
      </c>
    </row>
    <row r="151" spans="1:5" ht="12.75">
      <c r="A151" s="27" t="s">
        <v>245</v>
      </c>
      <c r="B151" s="1" t="s">
        <v>332</v>
      </c>
      <c r="C151" s="1" t="s">
        <v>370</v>
      </c>
      <c r="D151" s="1" t="s">
        <v>219</v>
      </c>
      <c r="E151" s="4" t="s">
        <v>391</v>
      </c>
    </row>
    <row r="152" spans="1:5" ht="12.75">
      <c r="A152" s="27" t="s">
        <v>130</v>
      </c>
      <c r="B152" s="1" t="s">
        <v>332</v>
      </c>
      <c r="C152" s="1" t="s">
        <v>392</v>
      </c>
      <c r="D152" s="1" t="s">
        <v>136</v>
      </c>
      <c r="E152" s="4" t="s">
        <v>393</v>
      </c>
    </row>
    <row r="153" spans="1:5" ht="12.75">
      <c r="A153" s="27" t="s">
        <v>276</v>
      </c>
      <c r="B153" s="1" t="s">
        <v>332</v>
      </c>
      <c r="C153" s="1" t="s">
        <v>363</v>
      </c>
      <c r="D153" s="1" t="s">
        <v>92</v>
      </c>
      <c r="E153" s="4" t="s">
        <v>394</v>
      </c>
    </row>
    <row r="154" spans="1:5" ht="12.75">
      <c r="A154" s="27" t="s">
        <v>138</v>
      </c>
      <c r="B154" s="1" t="s">
        <v>332</v>
      </c>
      <c r="C154" s="1" t="s">
        <v>392</v>
      </c>
      <c r="D154" s="1" t="s">
        <v>143</v>
      </c>
      <c r="E154" s="4" t="s">
        <v>395</v>
      </c>
    </row>
    <row r="155" spans="1:5" ht="12.75">
      <c r="A155" s="27" t="s">
        <v>194</v>
      </c>
      <c r="B155" s="1" t="s">
        <v>332</v>
      </c>
      <c r="C155" s="1" t="s">
        <v>368</v>
      </c>
      <c r="D155" s="1" t="s">
        <v>143</v>
      </c>
      <c r="E155" s="4" t="s">
        <v>396</v>
      </c>
    </row>
    <row r="157" spans="1:2" ht="13.5">
      <c r="A157" s="28"/>
      <c r="B157" s="29" t="s">
        <v>347</v>
      </c>
    </row>
    <row r="158" spans="1:5" ht="13.5">
      <c r="A158" s="30" t="s">
        <v>333</v>
      </c>
      <c r="B158" s="30" t="s">
        <v>334</v>
      </c>
      <c r="C158" s="30" t="s">
        <v>335</v>
      </c>
      <c r="D158" s="30" t="s">
        <v>336</v>
      </c>
      <c r="E158" s="30" t="s">
        <v>337</v>
      </c>
    </row>
    <row r="159" spans="1:5" ht="12.75">
      <c r="A159" s="27" t="s">
        <v>210</v>
      </c>
      <c r="B159" s="1" t="s">
        <v>397</v>
      </c>
      <c r="C159" s="1" t="s">
        <v>368</v>
      </c>
      <c r="D159" s="1" t="s">
        <v>135</v>
      </c>
      <c r="E159" s="4" t="s">
        <v>398</v>
      </c>
    </row>
    <row r="160" spans="1:5" ht="12.75">
      <c r="A160" s="27" t="s">
        <v>295</v>
      </c>
      <c r="B160" s="1" t="s">
        <v>399</v>
      </c>
      <c r="C160" s="1" t="s">
        <v>379</v>
      </c>
      <c r="D160" s="1" t="s">
        <v>181</v>
      </c>
      <c r="E160" s="4" t="s">
        <v>400</v>
      </c>
    </row>
    <row r="161" spans="1:5" ht="12.75">
      <c r="A161" s="27" t="s">
        <v>221</v>
      </c>
      <c r="B161" s="1" t="s">
        <v>401</v>
      </c>
      <c r="C161" s="1" t="s">
        <v>370</v>
      </c>
      <c r="D161" s="1" t="s">
        <v>224</v>
      </c>
      <c r="E161" s="4" t="s">
        <v>402</v>
      </c>
    </row>
    <row r="162" spans="1:5" ht="12.75">
      <c r="A162" s="27" t="s">
        <v>310</v>
      </c>
      <c r="B162" s="1" t="s">
        <v>399</v>
      </c>
      <c r="C162" s="1" t="s">
        <v>403</v>
      </c>
      <c r="D162" s="1" t="s">
        <v>181</v>
      </c>
      <c r="E162" s="4" t="s">
        <v>404</v>
      </c>
    </row>
    <row r="163" spans="1:5" ht="12.75">
      <c r="A163" s="27" t="s">
        <v>197</v>
      </c>
      <c r="B163" s="1" t="s">
        <v>401</v>
      </c>
      <c r="C163" s="1" t="s">
        <v>368</v>
      </c>
      <c r="D163" s="1" t="s">
        <v>181</v>
      </c>
      <c r="E163" s="4" t="s">
        <v>405</v>
      </c>
    </row>
    <row r="164" spans="1:5" ht="12.75">
      <c r="A164" s="27" t="s">
        <v>205</v>
      </c>
      <c r="B164" s="1" t="s">
        <v>406</v>
      </c>
      <c r="C164" s="1" t="s">
        <v>368</v>
      </c>
      <c r="D164" s="1" t="s">
        <v>136</v>
      </c>
      <c r="E164" s="4" t="s">
        <v>407</v>
      </c>
    </row>
    <row r="165" spans="1:5" ht="12.75">
      <c r="A165" s="27" t="s">
        <v>122</v>
      </c>
      <c r="B165" s="1" t="s">
        <v>408</v>
      </c>
      <c r="C165" s="1" t="s">
        <v>355</v>
      </c>
      <c r="D165" s="1" t="s">
        <v>109</v>
      </c>
      <c r="E165" s="4" t="s">
        <v>409</v>
      </c>
    </row>
    <row r="166" spans="1:5" ht="12.75">
      <c r="A166" s="27" t="s">
        <v>281</v>
      </c>
      <c r="B166" s="1" t="s">
        <v>401</v>
      </c>
      <c r="C166" s="1" t="s">
        <v>363</v>
      </c>
      <c r="D166" s="1" t="s">
        <v>168</v>
      </c>
      <c r="E166" s="4" t="s">
        <v>410</v>
      </c>
    </row>
    <row r="167" spans="1:5" ht="12.75">
      <c r="A167" s="27" t="s">
        <v>301</v>
      </c>
      <c r="B167" s="1" t="s">
        <v>348</v>
      </c>
      <c r="C167" s="1" t="s">
        <v>403</v>
      </c>
      <c r="D167" s="1" t="s">
        <v>225</v>
      </c>
      <c r="E167" s="4" t="s">
        <v>411</v>
      </c>
    </row>
    <row r="168" spans="1:5" ht="12.75">
      <c r="A168" s="27" t="s">
        <v>254</v>
      </c>
      <c r="B168" s="1" t="s">
        <v>399</v>
      </c>
      <c r="C168" s="1" t="s">
        <v>370</v>
      </c>
      <c r="D168" s="1" t="s">
        <v>257</v>
      </c>
      <c r="E168" s="4" t="s">
        <v>412</v>
      </c>
    </row>
    <row r="169" spans="1:5" ht="12.75">
      <c r="A169" s="27" t="s">
        <v>267</v>
      </c>
      <c r="B169" s="1" t="s">
        <v>348</v>
      </c>
      <c r="C169" s="1" t="s">
        <v>363</v>
      </c>
      <c r="D169" s="1" t="s">
        <v>270</v>
      </c>
      <c r="E169" s="4" t="s">
        <v>386</v>
      </c>
    </row>
    <row r="170" spans="1:5" ht="12.75">
      <c r="A170" s="27" t="s">
        <v>304</v>
      </c>
      <c r="B170" s="1" t="s">
        <v>348</v>
      </c>
      <c r="C170" s="1" t="s">
        <v>403</v>
      </c>
      <c r="D170" s="1" t="s">
        <v>161</v>
      </c>
      <c r="E170" s="4" t="s">
        <v>413</v>
      </c>
    </row>
    <row r="171" spans="1:5" ht="12.75">
      <c r="A171" s="27" t="s">
        <v>94</v>
      </c>
      <c r="B171" s="1" t="s">
        <v>350</v>
      </c>
      <c r="C171" s="1" t="s">
        <v>340</v>
      </c>
      <c r="D171" s="1" t="s">
        <v>101</v>
      </c>
      <c r="E171" s="4" t="s">
        <v>414</v>
      </c>
    </row>
    <row r="172" spans="1:5" ht="12.75">
      <c r="A172" s="27" t="s">
        <v>145</v>
      </c>
      <c r="B172" s="1" t="s">
        <v>350</v>
      </c>
      <c r="C172" s="1" t="s">
        <v>392</v>
      </c>
      <c r="D172" s="1" t="s">
        <v>143</v>
      </c>
      <c r="E172" s="4" t="s">
        <v>415</v>
      </c>
    </row>
    <row r="173" spans="1:5" ht="12.75">
      <c r="A173" s="27" t="s">
        <v>201</v>
      </c>
      <c r="B173" s="1" t="s">
        <v>350</v>
      </c>
      <c r="C173" s="1" t="s">
        <v>368</v>
      </c>
      <c r="D173" s="1" t="s">
        <v>143</v>
      </c>
      <c r="E173" s="4" t="s">
        <v>416</v>
      </c>
    </row>
  </sheetData>
  <sheetProtection/>
  <mergeCells count="26">
    <mergeCell ref="A1:M2"/>
    <mergeCell ref="G3:J3"/>
    <mergeCell ref="A3:A4"/>
    <mergeCell ref="B3:B4"/>
    <mergeCell ref="C3:C4"/>
    <mergeCell ref="M3:M4"/>
    <mergeCell ref="F3:F4"/>
    <mergeCell ref="E3:E4"/>
    <mergeCell ref="A5:L5"/>
    <mergeCell ref="A8:L8"/>
    <mergeCell ref="A12:L12"/>
    <mergeCell ref="D3:D4"/>
    <mergeCell ref="K3:K4"/>
    <mergeCell ref="L3:L4"/>
    <mergeCell ref="A16:L16"/>
    <mergeCell ref="A21:L21"/>
    <mergeCell ref="A24:L24"/>
    <mergeCell ref="A27:L27"/>
    <mergeCell ref="A31:L31"/>
    <mergeCell ref="A37:L37"/>
    <mergeCell ref="A42:L42"/>
    <mergeCell ref="A56:L56"/>
    <mergeCell ref="A68:L68"/>
    <mergeCell ref="A77:L77"/>
    <mergeCell ref="A82:L82"/>
    <mergeCell ref="A87:L87"/>
  </mergeCells>
  <printOptions/>
  <pageMargins left="0.1968503937007874" right="0.4724409448818898" top="0.4330708661417323" bottom="0.4724409448818898" header="0.5118110236220472" footer="0.5118110236220472"/>
  <pageSetup fitToHeight="3" fitToWidth="1" horizontalDpi="300" verticalDpi="300" orientation="landscape" scale="70"/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 topLeftCell="A1">
      <selection activeCell="A1" sqref="A1:M2"/>
    </sheetView>
  </sheetViews>
  <sheetFormatPr defaultColWidth="9.125" defaultRowHeight="12.75"/>
  <cols>
    <col min="1" max="1" width="34.625" style="4" bestFit="1" customWidth="1"/>
    <col min="2" max="2" width="26.875" style="1" bestFit="1" customWidth="1"/>
    <col min="3" max="3" width="16.375" style="1" bestFit="1" customWidth="1"/>
    <col min="4" max="4" width="9.25390625" style="1" bestFit="1" customWidth="1"/>
    <col min="5" max="5" width="22.75390625" style="5" bestFit="1" customWidth="1"/>
    <col min="6" max="6" width="32.625" style="5" bestFit="1" customWidth="1"/>
    <col min="7" max="8" width="5.625" style="1" bestFit="1" customWidth="1"/>
    <col min="9" max="9" width="3.625" style="1" bestFit="1" customWidth="1"/>
    <col min="10" max="10" width="4.625" style="1" bestFit="1" customWidth="1"/>
    <col min="11" max="11" width="7.875" style="4" bestFit="1" customWidth="1"/>
    <col min="12" max="12" width="8.625" style="1" bestFit="1" customWidth="1"/>
    <col min="13" max="13" width="8.875" style="5" bestFit="1" customWidth="1"/>
    <col min="14" max="16384" width="9.125" style="1" customWidth="1"/>
  </cols>
  <sheetData>
    <row r="1" spans="1:13" ht="15" customHeight="1">
      <c r="A1" s="39" t="s">
        <v>1423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66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2" customFormat="1" ht="12.75" customHeight="1">
      <c r="A3" s="45" t="s">
        <v>0</v>
      </c>
      <c r="B3" s="47" t="s">
        <v>9</v>
      </c>
      <c r="C3" s="37" t="s">
        <v>3</v>
      </c>
      <c r="D3" s="37" t="s">
        <v>11</v>
      </c>
      <c r="E3" s="37" t="s">
        <v>6</v>
      </c>
      <c r="F3" s="37" t="s">
        <v>8</v>
      </c>
      <c r="G3" s="37" t="s">
        <v>419</v>
      </c>
      <c r="H3" s="37"/>
      <c r="I3" s="37"/>
      <c r="J3" s="37"/>
      <c r="K3" s="37" t="s">
        <v>2</v>
      </c>
      <c r="L3" s="37" t="s">
        <v>5</v>
      </c>
      <c r="M3" s="48" t="s">
        <v>4</v>
      </c>
    </row>
    <row r="4" spans="1:13" s="2" customFormat="1" ht="21" customHeight="1" thickBot="1">
      <c r="A4" s="46"/>
      <c r="B4" s="38"/>
      <c r="C4" s="38"/>
      <c r="D4" s="38"/>
      <c r="E4" s="38"/>
      <c r="F4" s="38"/>
      <c r="G4" s="3">
        <v>1</v>
      </c>
      <c r="H4" s="3">
        <v>2</v>
      </c>
      <c r="I4" s="3">
        <v>3</v>
      </c>
      <c r="J4" s="3" t="s">
        <v>7</v>
      </c>
      <c r="K4" s="38"/>
      <c r="L4" s="38"/>
      <c r="M4" s="49"/>
    </row>
    <row r="5" spans="1:12" ht="15.75">
      <c r="A5" s="35" t="s">
        <v>150</v>
      </c>
      <c r="B5" s="36"/>
      <c r="C5" s="36"/>
      <c r="D5" s="36"/>
      <c r="E5" s="36"/>
      <c r="F5" s="36"/>
      <c r="G5" s="36"/>
      <c r="H5" s="36"/>
      <c r="I5" s="36"/>
      <c r="J5" s="36"/>
      <c r="K5" s="35"/>
      <c r="L5" s="36"/>
    </row>
    <row r="6" spans="1:13" ht="12.75">
      <c r="A6" s="6" t="s">
        <v>1410</v>
      </c>
      <c r="B6" s="7" t="s">
        <v>1411</v>
      </c>
      <c r="C6" s="7" t="s">
        <v>191</v>
      </c>
      <c r="D6" s="7" t="str">
        <f>"0,6193"</f>
        <v>0,6193</v>
      </c>
      <c r="E6" s="8" t="s">
        <v>987</v>
      </c>
      <c r="F6" s="8" t="s">
        <v>988</v>
      </c>
      <c r="G6" s="9" t="s">
        <v>163</v>
      </c>
      <c r="H6" s="9" t="s">
        <v>82</v>
      </c>
      <c r="I6" s="9" t="s">
        <v>82</v>
      </c>
      <c r="J6" s="9"/>
      <c r="K6" s="6" t="s">
        <v>68</v>
      </c>
      <c r="L6" s="7" t="str">
        <f>"0,0000"</f>
        <v>0,0000</v>
      </c>
      <c r="M6" s="8" t="s">
        <v>21</v>
      </c>
    </row>
    <row r="8" spans="1:12" ht="15.75">
      <c r="A8" s="33" t="s">
        <v>259</v>
      </c>
      <c r="B8" s="34"/>
      <c r="C8" s="34"/>
      <c r="D8" s="34"/>
      <c r="E8" s="34"/>
      <c r="F8" s="34"/>
      <c r="G8" s="34"/>
      <c r="H8" s="34"/>
      <c r="I8" s="34"/>
      <c r="J8" s="34"/>
      <c r="K8" s="33"/>
      <c r="L8" s="34"/>
    </row>
    <row r="9" spans="1:13" ht="12.75">
      <c r="A9" s="6" t="s">
        <v>1378</v>
      </c>
      <c r="B9" s="7" t="s">
        <v>1379</v>
      </c>
      <c r="C9" s="7" t="s">
        <v>1306</v>
      </c>
      <c r="D9" s="7" t="str">
        <f>"0,5578"</f>
        <v>0,5578</v>
      </c>
      <c r="E9" s="8" t="s">
        <v>1380</v>
      </c>
      <c r="F9" s="8" t="s">
        <v>1380</v>
      </c>
      <c r="G9" s="7" t="s">
        <v>806</v>
      </c>
      <c r="H9" s="7" t="s">
        <v>971</v>
      </c>
      <c r="I9" s="9" t="s">
        <v>82</v>
      </c>
      <c r="J9" s="9"/>
      <c r="K9" s="6" t="s">
        <v>1424</v>
      </c>
      <c r="L9" s="7" t="str">
        <f>"171,5235"</f>
        <v>171,5235</v>
      </c>
      <c r="M9" s="8" t="s">
        <v>21</v>
      </c>
    </row>
    <row r="11" ht="15.75">
      <c r="E11" s="23" t="s">
        <v>325</v>
      </c>
    </row>
    <row r="12" ht="15.75">
      <c r="E12" s="23" t="s">
        <v>326</v>
      </c>
    </row>
    <row r="13" ht="15.75">
      <c r="E13" s="23" t="s">
        <v>327</v>
      </c>
    </row>
    <row r="14" ht="15.75">
      <c r="E14" s="23" t="s">
        <v>328</v>
      </c>
    </row>
    <row r="15" ht="15.75">
      <c r="E15" s="23" t="s">
        <v>328</v>
      </c>
    </row>
    <row r="16" ht="15.75">
      <c r="E16" s="23" t="s">
        <v>329</v>
      </c>
    </row>
    <row r="17" ht="15.75">
      <c r="E17" s="23"/>
    </row>
    <row r="19" spans="1:2" ht="18">
      <c r="A19" s="24" t="s">
        <v>330</v>
      </c>
      <c r="B19" s="25"/>
    </row>
    <row r="20" spans="1:2" ht="15.75">
      <c r="A20" s="26" t="s">
        <v>352</v>
      </c>
      <c r="B20" s="10"/>
    </row>
    <row r="21" spans="1:2" ht="13.5">
      <c r="A21" s="28"/>
      <c r="B21" s="29" t="s">
        <v>332</v>
      </c>
    </row>
    <row r="22" spans="1:5" ht="13.5">
      <c r="A22" s="30" t="s">
        <v>333</v>
      </c>
      <c r="B22" s="30" t="s">
        <v>334</v>
      </c>
      <c r="C22" s="30" t="s">
        <v>335</v>
      </c>
      <c r="D22" s="30" t="s">
        <v>336</v>
      </c>
      <c r="E22" s="30" t="s">
        <v>337</v>
      </c>
    </row>
    <row r="23" spans="1:5" ht="12.75">
      <c r="A23" s="27" t="s">
        <v>1378</v>
      </c>
      <c r="B23" s="1" t="s">
        <v>332</v>
      </c>
      <c r="C23" s="1" t="s">
        <v>363</v>
      </c>
      <c r="D23" s="1" t="s">
        <v>971</v>
      </c>
      <c r="E23" s="4" t="s">
        <v>1425</v>
      </c>
    </row>
    <row r="28" spans="1:2" ht="18">
      <c r="A28" s="24" t="s">
        <v>1349</v>
      </c>
      <c r="B28" s="25"/>
    </row>
    <row r="29" spans="1:3" ht="13.5">
      <c r="A29" s="30" t="s">
        <v>1350</v>
      </c>
      <c r="B29" s="30" t="s">
        <v>1351</v>
      </c>
      <c r="C29" s="30" t="s">
        <v>1352</v>
      </c>
    </row>
    <row r="30" spans="1:3" ht="12.75">
      <c r="A30" s="4" t="s">
        <v>1380</v>
      </c>
      <c r="B30" s="1" t="s">
        <v>1359</v>
      </c>
      <c r="C30" s="1" t="s">
        <v>1408</v>
      </c>
    </row>
  </sheetData>
  <sheetProtection/>
  <mergeCells count="13"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0"/>
  <sheetViews>
    <sheetView workbookViewId="0" topLeftCell="A48">
      <selection activeCell="A23" sqref="A23"/>
    </sheetView>
  </sheetViews>
  <sheetFormatPr defaultColWidth="9.125" defaultRowHeight="12.75"/>
  <cols>
    <col min="1" max="1" width="28.25390625" style="4" bestFit="1" customWidth="1"/>
    <col min="2" max="2" width="26.875" style="1" bestFit="1" customWidth="1"/>
    <col min="3" max="3" width="10.625" style="1" bestFit="1" customWidth="1"/>
    <col min="4" max="4" width="9.25390625" style="1" bestFit="1" customWidth="1"/>
    <col min="5" max="5" width="22.75390625" style="5" bestFit="1" customWidth="1"/>
    <col min="6" max="6" width="38.25390625" style="5" bestFit="1" customWidth="1"/>
    <col min="7" max="9" width="5.625" style="1" bestFit="1" customWidth="1"/>
    <col min="10" max="10" width="4.625" style="1" bestFit="1" customWidth="1"/>
    <col min="11" max="13" width="5.625" style="1" bestFit="1" customWidth="1"/>
    <col min="14" max="14" width="4.625" style="1" bestFit="1" customWidth="1"/>
    <col min="15" max="18" width="5.625" style="1" bestFit="1" customWidth="1"/>
    <col min="19" max="19" width="7.875" style="4" bestFit="1" customWidth="1"/>
    <col min="20" max="20" width="8.625" style="1" bestFit="1" customWidth="1"/>
    <col min="21" max="21" width="15.75390625" style="5" bestFit="1" customWidth="1"/>
    <col min="22" max="16384" width="9.125" style="1" customWidth="1"/>
  </cols>
  <sheetData>
    <row r="1" spans="1:21" ht="15" customHeight="1">
      <c r="A1" s="39" t="s">
        <v>725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ht="66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2" customFormat="1" ht="12.75" customHeight="1">
      <c r="A3" s="45" t="s">
        <v>0</v>
      </c>
      <c r="B3" s="47" t="s">
        <v>9</v>
      </c>
      <c r="C3" s="37" t="s">
        <v>3</v>
      </c>
      <c r="D3" s="37" t="s">
        <v>11</v>
      </c>
      <c r="E3" s="37" t="s">
        <v>6</v>
      </c>
      <c r="F3" s="37" t="s">
        <v>8</v>
      </c>
      <c r="G3" s="37" t="s">
        <v>418</v>
      </c>
      <c r="H3" s="37"/>
      <c r="I3" s="37"/>
      <c r="J3" s="37"/>
      <c r="K3" s="37" t="s">
        <v>1</v>
      </c>
      <c r="L3" s="37"/>
      <c r="M3" s="37"/>
      <c r="N3" s="37"/>
      <c r="O3" s="37" t="s">
        <v>419</v>
      </c>
      <c r="P3" s="37"/>
      <c r="Q3" s="37"/>
      <c r="R3" s="37"/>
      <c r="S3" s="37" t="s">
        <v>2</v>
      </c>
      <c r="T3" s="37" t="s">
        <v>5</v>
      </c>
      <c r="U3" s="48" t="s">
        <v>4</v>
      </c>
    </row>
    <row r="4" spans="1:21" s="2" customFormat="1" ht="21" customHeight="1" thickBot="1">
      <c r="A4" s="46"/>
      <c r="B4" s="38"/>
      <c r="C4" s="38"/>
      <c r="D4" s="38"/>
      <c r="E4" s="38"/>
      <c r="F4" s="38"/>
      <c r="G4" s="3">
        <v>1</v>
      </c>
      <c r="H4" s="3">
        <v>2</v>
      </c>
      <c r="I4" s="3">
        <v>3</v>
      </c>
      <c r="J4" s="3" t="s">
        <v>7</v>
      </c>
      <c r="K4" s="3">
        <v>1</v>
      </c>
      <c r="L4" s="3">
        <v>2</v>
      </c>
      <c r="M4" s="3">
        <v>3</v>
      </c>
      <c r="N4" s="3" t="s">
        <v>7</v>
      </c>
      <c r="O4" s="3">
        <v>1</v>
      </c>
      <c r="P4" s="3">
        <v>2</v>
      </c>
      <c r="Q4" s="3">
        <v>3</v>
      </c>
      <c r="R4" s="3" t="s">
        <v>7</v>
      </c>
      <c r="S4" s="38"/>
      <c r="T4" s="38"/>
      <c r="U4" s="49"/>
    </row>
    <row r="5" spans="1:20" ht="15.75">
      <c r="A5" s="35" t="s">
        <v>22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5"/>
      <c r="T5" s="36"/>
    </row>
    <row r="6" spans="1:21" ht="12.75">
      <c r="A6" s="6" t="s">
        <v>726</v>
      </c>
      <c r="B6" s="7" t="s">
        <v>727</v>
      </c>
      <c r="C6" s="7" t="s">
        <v>728</v>
      </c>
      <c r="D6" s="7" t="str">
        <f>"0,9778"</f>
        <v>0,9778</v>
      </c>
      <c r="E6" s="8" t="s">
        <v>26</v>
      </c>
      <c r="F6" s="8" t="s">
        <v>90</v>
      </c>
      <c r="G6" s="9" t="s">
        <v>110</v>
      </c>
      <c r="H6" s="7" t="s">
        <v>110</v>
      </c>
      <c r="I6" s="9" t="s">
        <v>143</v>
      </c>
      <c r="J6" s="9"/>
      <c r="K6" s="7" t="s">
        <v>488</v>
      </c>
      <c r="L6" s="7" t="s">
        <v>45</v>
      </c>
      <c r="M6" s="7" t="s">
        <v>74</v>
      </c>
      <c r="N6" s="9"/>
      <c r="O6" s="7" t="s">
        <v>115</v>
      </c>
      <c r="P6" s="7" t="s">
        <v>204</v>
      </c>
      <c r="Q6" s="9" t="s">
        <v>136</v>
      </c>
      <c r="R6" s="9"/>
      <c r="S6" s="6" t="s">
        <v>729</v>
      </c>
      <c r="T6" s="7" t="str">
        <f>"249,3390"</f>
        <v>249,3390</v>
      </c>
      <c r="U6" s="8" t="s">
        <v>21</v>
      </c>
    </row>
    <row r="8" spans="1:20" ht="15.75">
      <c r="A8" s="33" t="s">
        <v>56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3"/>
      <c r="T8" s="34"/>
    </row>
    <row r="9" spans="1:21" ht="12.75">
      <c r="A9" s="6" t="s">
        <v>730</v>
      </c>
      <c r="B9" s="7" t="s">
        <v>731</v>
      </c>
      <c r="C9" s="7" t="s">
        <v>89</v>
      </c>
      <c r="D9" s="7" t="str">
        <f>"0,8634"</f>
        <v>0,8634</v>
      </c>
      <c r="E9" s="8" t="s">
        <v>478</v>
      </c>
      <c r="F9" s="8" t="s">
        <v>732</v>
      </c>
      <c r="G9" s="7" t="s">
        <v>143</v>
      </c>
      <c r="H9" s="7" t="s">
        <v>136</v>
      </c>
      <c r="I9" s="7" t="s">
        <v>92</v>
      </c>
      <c r="J9" s="9"/>
      <c r="K9" s="7" t="s">
        <v>99</v>
      </c>
      <c r="L9" s="7" t="s">
        <v>100</v>
      </c>
      <c r="M9" s="9" t="s">
        <v>110</v>
      </c>
      <c r="N9" s="9"/>
      <c r="O9" s="7" t="s">
        <v>218</v>
      </c>
      <c r="P9" s="7" t="s">
        <v>219</v>
      </c>
      <c r="Q9" s="9" t="s">
        <v>154</v>
      </c>
      <c r="R9" s="9"/>
      <c r="S9" s="6" t="s">
        <v>733</v>
      </c>
      <c r="T9" s="7" t="str">
        <f>"293,5560"</f>
        <v>293,5560</v>
      </c>
      <c r="U9" s="8" t="s">
        <v>734</v>
      </c>
    </row>
    <row r="11" spans="1:20" ht="15.75">
      <c r="A11" s="33" t="s">
        <v>103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3"/>
      <c r="T11" s="34"/>
    </row>
    <row r="12" spans="1:21" ht="12.75">
      <c r="A12" s="11" t="s">
        <v>735</v>
      </c>
      <c r="B12" s="12" t="s">
        <v>736</v>
      </c>
      <c r="C12" s="12" t="s">
        <v>737</v>
      </c>
      <c r="D12" s="12" t="str">
        <f>"0,8456"</f>
        <v>0,8456</v>
      </c>
      <c r="E12" s="13" t="s">
        <v>179</v>
      </c>
      <c r="F12" s="13" t="s">
        <v>732</v>
      </c>
      <c r="G12" s="14" t="s">
        <v>488</v>
      </c>
      <c r="H12" s="14" t="s">
        <v>488</v>
      </c>
      <c r="I12" s="12" t="s">
        <v>488</v>
      </c>
      <c r="J12" s="14"/>
      <c r="K12" s="12" t="s">
        <v>738</v>
      </c>
      <c r="L12" s="12" t="s">
        <v>739</v>
      </c>
      <c r="M12" s="12" t="s">
        <v>740</v>
      </c>
      <c r="N12" s="14"/>
      <c r="O12" s="12" t="s">
        <v>127</v>
      </c>
      <c r="P12" s="12" t="s">
        <v>100</v>
      </c>
      <c r="Q12" s="14" t="s">
        <v>110</v>
      </c>
      <c r="R12" s="14"/>
      <c r="S12" s="11" t="s">
        <v>226</v>
      </c>
      <c r="T12" s="12" t="str">
        <f>"158,9517"</f>
        <v>158,9517</v>
      </c>
      <c r="U12" s="13" t="s">
        <v>21</v>
      </c>
    </row>
    <row r="13" spans="1:21" ht="12.75">
      <c r="A13" s="15" t="s">
        <v>741</v>
      </c>
      <c r="B13" s="16" t="s">
        <v>742</v>
      </c>
      <c r="C13" s="16" t="s">
        <v>743</v>
      </c>
      <c r="D13" s="16" t="str">
        <f>"0,7918"</f>
        <v>0,7918</v>
      </c>
      <c r="E13" s="17" t="s">
        <v>34</v>
      </c>
      <c r="F13" s="17" t="s">
        <v>35</v>
      </c>
      <c r="G13" s="16" t="s">
        <v>92</v>
      </c>
      <c r="H13" s="16" t="s">
        <v>192</v>
      </c>
      <c r="I13" s="16" t="s">
        <v>219</v>
      </c>
      <c r="J13" s="18"/>
      <c r="K13" s="16" t="s">
        <v>127</v>
      </c>
      <c r="L13" s="18" t="s">
        <v>99</v>
      </c>
      <c r="M13" s="18" t="s">
        <v>99</v>
      </c>
      <c r="N13" s="18"/>
      <c r="O13" s="16" t="s">
        <v>218</v>
      </c>
      <c r="P13" s="16" t="s">
        <v>219</v>
      </c>
      <c r="Q13" s="16" t="s">
        <v>186</v>
      </c>
      <c r="R13" s="18"/>
      <c r="S13" s="15" t="s">
        <v>744</v>
      </c>
      <c r="T13" s="16" t="str">
        <f>"281,0890"</f>
        <v>281,0890</v>
      </c>
      <c r="U13" s="17" t="s">
        <v>21</v>
      </c>
    </row>
    <row r="15" spans="1:20" ht="15.75">
      <c r="A15" s="33" t="s">
        <v>129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3"/>
      <c r="T15" s="34"/>
    </row>
    <row r="16" spans="1:21" ht="12.75">
      <c r="A16" s="6" t="s">
        <v>745</v>
      </c>
      <c r="B16" s="7" t="s">
        <v>746</v>
      </c>
      <c r="C16" s="7" t="s">
        <v>147</v>
      </c>
      <c r="D16" s="7" t="str">
        <f>"0,7279"</f>
        <v>0,7279</v>
      </c>
      <c r="E16" s="8" t="s">
        <v>478</v>
      </c>
      <c r="F16" s="8" t="s">
        <v>732</v>
      </c>
      <c r="G16" s="7" t="s">
        <v>99</v>
      </c>
      <c r="H16" s="7" t="s">
        <v>110</v>
      </c>
      <c r="I16" s="9" t="s">
        <v>115</v>
      </c>
      <c r="J16" s="9"/>
      <c r="K16" s="7" t="s">
        <v>740</v>
      </c>
      <c r="L16" s="7" t="s">
        <v>18</v>
      </c>
      <c r="M16" s="9" t="s">
        <v>19</v>
      </c>
      <c r="N16" s="9"/>
      <c r="O16" s="7" t="s">
        <v>110</v>
      </c>
      <c r="P16" s="7" t="s">
        <v>143</v>
      </c>
      <c r="Q16" s="9" t="s">
        <v>82</v>
      </c>
      <c r="R16" s="9"/>
      <c r="S16" s="6" t="s">
        <v>444</v>
      </c>
      <c r="T16" s="7" t="str">
        <f>"172,8763"</f>
        <v>172,8763</v>
      </c>
      <c r="U16" s="8" t="s">
        <v>21</v>
      </c>
    </row>
    <row r="18" spans="1:20" ht="15.75">
      <c r="A18" s="33" t="s">
        <v>103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3"/>
      <c r="T18" s="34"/>
    </row>
    <row r="19" spans="1:21" ht="12.75">
      <c r="A19" s="6" t="s">
        <v>747</v>
      </c>
      <c r="B19" s="7" t="s">
        <v>748</v>
      </c>
      <c r="C19" s="7" t="s">
        <v>749</v>
      </c>
      <c r="D19" s="7" t="str">
        <f>"0,7403"</f>
        <v>0,7403</v>
      </c>
      <c r="E19" s="8" t="s">
        <v>750</v>
      </c>
      <c r="F19" s="8" t="s">
        <v>751</v>
      </c>
      <c r="G19" s="7" t="s">
        <v>143</v>
      </c>
      <c r="H19" s="9" t="s">
        <v>91</v>
      </c>
      <c r="I19" s="7" t="s">
        <v>91</v>
      </c>
      <c r="J19" s="9"/>
      <c r="K19" s="7" t="s">
        <v>508</v>
      </c>
      <c r="L19" s="7" t="s">
        <v>148</v>
      </c>
      <c r="M19" s="9" t="s">
        <v>143</v>
      </c>
      <c r="N19" s="9"/>
      <c r="O19" s="7" t="s">
        <v>180</v>
      </c>
      <c r="P19" s="7" t="s">
        <v>175</v>
      </c>
      <c r="Q19" s="7" t="s">
        <v>168</v>
      </c>
      <c r="R19" s="7" t="s">
        <v>162</v>
      </c>
      <c r="S19" s="6" t="s">
        <v>752</v>
      </c>
      <c r="T19" s="7" t="str">
        <f>"344,5837"</f>
        <v>344,5837</v>
      </c>
      <c r="U19" s="8" t="s">
        <v>21</v>
      </c>
    </row>
    <row r="21" spans="1:20" ht="15.75">
      <c r="A21" s="33" t="s">
        <v>129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3"/>
      <c r="T21" s="34"/>
    </row>
    <row r="22" spans="1:21" ht="12.75">
      <c r="A22" s="11" t="s">
        <v>753</v>
      </c>
      <c r="B22" s="12" t="s">
        <v>754</v>
      </c>
      <c r="C22" s="12" t="s">
        <v>755</v>
      </c>
      <c r="D22" s="12" t="str">
        <f>"0,6673"</f>
        <v>0,6673</v>
      </c>
      <c r="E22" s="13" t="s">
        <v>26</v>
      </c>
      <c r="F22" s="13" t="s">
        <v>90</v>
      </c>
      <c r="G22" s="12" t="s">
        <v>91</v>
      </c>
      <c r="H22" s="12" t="s">
        <v>218</v>
      </c>
      <c r="I22" s="14" t="s">
        <v>219</v>
      </c>
      <c r="J22" s="14"/>
      <c r="K22" s="12" t="s">
        <v>60</v>
      </c>
      <c r="L22" s="12" t="s">
        <v>109</v>
      </c>
      <c r="M22" s="14" t="s">
        <v>756</v>
      </c>
      <c r="N22" s="14"/>
      <c r="O22" s="14" t="s">
        <v>219</v>
      </c>
      <c r="P22" s="12" t="s">
        <v>757</v>
      </c>
      <c r="Q22" s="12" t="s">
        <v>187</v>
      </c>
      <c r="R22" s="14"/>
      <c r="S22" s="11" t="s">
        <v>758</v>
      </c>
      <c r="T22" s="12" t="str">
        <f>"248,6360"</f>
        <v>248,6360</v>
      </c>
      <c r="U22" s="13" t="s">
        <v>21</v>
      </c>
    </row>
    <row r="23" spans="1:21" ht="12.75">
      <c r="A23" s="19" t="s">
        <v>759</v>
      </c>
      <c r="B23" s="20" t="s">
        <v>760</v>
      </c>
      <c r="C23" s="20" t="s">
        <v>426</v>
      </c>
      <c r="D23" s="20" t="str">
        <f>"0,6760"</f>
        <v>0,6760</v>
      </c>
      <c r="E23" s="21" t="s">
        <v>133</v>
      </c>
      <c r="F23" s="21" t="s">
        <v>134</v>
      </c>
      <c r="G23" s="20" t="s">
        <v>181</v>
      </c>
      <c r="H23" s="20" t="s">
        <v>161</v>
      </c>
      <c r="I23" s="20" t="s">
        <v>163</v>
      </c>
      <c r="J23" s="22"/>
      <c r="K23" s="22" t="s">
        <v>204</v>
      </c>
      <c r="L23" s="20" t="s">
        <v>204</v>
      </c>
      <c r="M23" s="20" t="s">
        <v>136</v>
      </c>
      <c r="N23" s="22"/>
      <c r="O23" s="20" t="s">
        <v>427</v>
      </c>
      <c r="P23" s="20" t="s">
        <v>318</v>
      </c>
      <c r="Q23" s="22" t="s">
        <v>519</v>
      </c>
      <c r="R23" s="22"/>
      <c r="S23" s="19" t="s">
        <v>761</v>
      </c>
      <c r="T23" s="20" t="str">
        <f>"348,0048"</f>
        <v>348,0048</v>
      </c>
      <c r="U23" s="21" t="s">
        <v>21</v>
      </c>
    </row>
    <row r="24" spans="1:21" ht="12.75">
      <c r="A24" s="19" t="s">
        <v>762</v>
      </c>
      <c r="B24" s="20" t="s">
        <v>763</v>
      </c>
      <c r="C24" s="20" t="s">
        <v>764</v>
      </c>
      <c r="D24" s="20" t="str">
        <f>"0,6741"</f>
        <v>0,6741</v>
      </c>
      <c r="E24" s="21" t="s">
        <v>478</v>
      </c>
      <c r="F24" s="21" t="s">
        <v>732</v>
      </c>
      <c r="G24" s="20" t="s">
        <v>181</v>
      </c>
      <c r="H24" s="20" t="s">
        <v>161</v>
      </c>
      <c r="I24" s="20" t="s">
        <v>162</v>
      </c>
      <c r="J24" s="22"/>
      <c r="K24" s="22" t="s">
        <v>91</v>
      </c>
      <c r="L24" s="20" t="s">
        <v>91</v>
      </c>
      <c r="M24" s="22" t="s">
        <v>218</v>
      </c>
      <c r="N24" s="22"/>
      <c r="O24" s="20" t="s">
        <v>427</v>
      </c>
      <c r="P24" s="20" t="s">
        <v>318</v>
      </c>
      <c r="Q24" s="22" t="s">
        <v>560</v>
      </c>
      <c r="R24" s="22"/>
      <c r="S24" s="19" t="s">
        <v>761</v>
      </c>
      <c r="T24" s="20" t="str">
        <f>"340,3531"</f>
        <v>340,3531</v>
      </c>
      <c r="U24" s="21" t="s">
        <v>21</v>
      </c>
    </row>
    <row r="25" spans="1:21" ht="12.75">
      <c r="A25" s="15" t="s">
        <v>765</v>
      </c>
      <c r="B25" s="16" t="s">
        <v>766</v>
      </c>
      <c r="C25" s="16" t="s">
        <v>767</v>
      </c>
      <c r="D25" s="16" t="str">
        <f>"0,6770"</f>
        <v>0,6770</v>
      </c>
      <c r="E25" s="17" t="s">
        <v>713</v>
      </c>
      <c r="F25" s="17" t="s">
        <v>714</v>
      </c>
      <c r="G25" s="16" t="s">
        <v>136</v>
      </c>
      <c r="H25" s="16" t="s">
        <v>218</v>
      </c>
      <c r="I25" s="16" t="s">
        <v>192</v>
      </c>
      <c r="J25" s="18"/>
      <c r="K25" s="16" t="s">
        <v>143</v>
      </c>
      <c r="L25" s="18" t="s">
        <v>204</v>
      </c>
      <c r="M25" s="18" t="s">
        <v>204</v>
      </c>
      <c r="N25" s="18"/>
      <c r="O25" s="16" t="s">
        <v>163</v>
      </c>
      <c r="P25" s="16" t="s">
        <v>427</v>
      </c>
      <c r="Q25" s="18" t="s">
        <v>82</v>
      </c>
      <c r="R25" s="18"/>
      <c r="S25" s="15" t="s">
        <v>768</v>
      </c>
      <c r="T25" s="16" t="str">
        <f>"284,3610"</f>
        <v>284,3610</v>
      </c>
      <c r="U25" s="17" t="s">
        <v>21</v>
      </c>
    </row>
    <row r="27" spans="1:20" ht="15.75">
      <c r="A27" s="33" t="s">
        <v>150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3"/>
      <c r="T27" s="34"/>
    </row>
    <row r="28" spans="1:21" ht="12.75">
      <c r="A28" s="11" t="s">
        <v>769</v>
      </c>
      <c r="B28" s="12" t="s">
        <v>770</v>
      </c>
      <c r="C28" s="12" t="s">
        <v>771</v>
      </c>
      <c r="D28" s="12" t="str">
        <f>"0,6273"</f>
        <v>0,6273</v>
      </c>
      <c r="E28" s="13" t="s">
        <v>713</v>
      </c>
      <c r="F28" s="13" t="s">
        <v>714</v>
      </c>
      <c r="G28" s="14" t="s">
        <v>136</v>
      </c>
      <c r="H28" s="14" t="s">
        <v>136</v>
      </c>
      <c r="I28" s="12" t="s">
        <v>136</v>
      </c>
      <c r="J28" s="14"/>
      <c r="K28" s="12" t="s">
        <v>110</v>
      </c>
      <c r="L28" s="12" t="s">
        <v>143</v>
      </c>
      <c r="M28" s="14" t="s">
        <v>204</v>
      </c>
      <c r="N28" s="14"/>
      <c r="O28" s="12" t="s">
        <v>181</v>
      </c>
      <c r="P28" s="12" t="s">
        <v>163</v>
      </c>
      <c r="Q28" s="14" t="s">
        <v>427</v>
      </c>
      <c r="R28" s="14"/>
      <c r="S28" s="11" t="s">
        <v>772</v>
      </c>
      <c r="T28" s="12" t="str">
        <f>"264,2188"</f>
        <v>264,2188</v>
      </c>
      <c r="U28" s="13" t="s">
        <v>21</v>
      </c>
    </row>
    <row r="29" spans="1:21" ht="12.75">
      <c r="A29" s="19" t="s">
        <v>773</v>
      </c>
      <c r="B29" s="20" t="s">
        <v>774</v>
      </c>
      <c r="C29" s="20" t="s">
        <v>775</v>
      </c>
      <c r="D29" s="20" t="str">
        <f>"0,6219"</f>
        <v>0,6219</v>
      </c>
      <c r="E29" s="21" t="s">
        <v>65</v>
      </c>
      <c r="F29" s="21" t="s">
        <v>776</v>
      </c>
      <c r="G29" s="20" t="s">
        <v>181</v>
      </c>
      <c r="H29" s="20" t="s">
        <v>161</v>
      </c>
      <c r="I29" s="22" t="s">
        <v>163</v>
      </c>
      <c r="J29" s="22"/>
      <c r="K29" s="20" t="s">
        <v>218</v>
      </c>
      <c r="L29" s="22" t="s">
        <v>608</v>
      </c>
      <c r="M29" s="22" t="s">
        <v>608</v>
      </c>
      <c r="N29" s="22"/>
      <c r="O29" s="20" t="s">
        <v>290</v>
      </c>
      <c r="P29" s="20" t="s">
        <v>428</v>
      </c>
      <c r="Q29" s="20" t="s">
        <v>318</v>
      </c>
      <c r="R29" s="22"/>
      <c r="S29" s="19" t="s">
        <v>777</v>
      </c>
      <c r="T29" s="20" t="str">
        <f>"314,0595"</f>
        <v>314,0595</v>
      </c>
      <c r="U29" s="21" t="s">
        <v>21</v>
      </c>
    </row>
    <row r="30" spans="1:21" ht="12.75">
      <c r="A30" s="19" t="s">
        <v>773</v>
      </c>
      <c r="B30" s="20" t="s">
        <v>778</v>
      </c>
      <c r="C30" s="20" t="s">
        <v>775</v>
      </c>
      <c r="D30" s="20" t="str">
        <f>"0,6219"</f>
        <v>0,6219</v>
      </c>
      <c r="E30" s="21" t="s">
        <v>65</v>
      </c>
      <c r="F30" s="21" t="s">
        <v>776</v>
      </c>
      <c r="G30" s="20" t="s">
        <v>181</v>
      </c>
      <c r="H30" s="20" t="s">
        <v>161</v>
      </c>
      <c r="I30" s="22" t="s">
        <v>163</v>
      </c>
      <c r="J30" s="22"/>
      <c r="K30" s="20" t="s">
        <v>218</v>
      </c>
      <c r="L30" s="22" t="s">
        <v>608</v>
      </c>
      <c r="M30" s="22" t="s">
        <v>608</v>
      </c>
      <c r="N30" s="22"/>
      <c r="O30" s="20" t="s">
        <v>290</v>
      </c>
      <c r="P30" s="20" t="s">
        <v>428</v>
      </c>
      <c r="Q30" s="20" t="s">
        <v>318</v>
      </c>
      <c r="R30" s="22"/>
      <c r="S30" s="19" t="s">
        <v>777</v>
      </c>
      <c r="T30" s="20" t="str">
        <f>"310,9500"</f>
        <v>310,9500</v>
      </c>
      <c r="U30" s="21" t="s">
        <v>21</v>
      </c>
    </row>
    <row r="31" spans="1:21" ht="12.75">
      <c r="A31" s="19" t="s">
        <v>779</v>
      </c>
      <c r="B31" s="20" t="s">
        <v>780</v>
      </c>
      <c r="C31" s="20" t="s">
        <v>781</v>
      </c>
      <c r="D31" s="20" t="str">
        <f>"0,6355"</f>
        <v>0,6355</v>
      </c>
      <c r="E31" s="21" t="s">
        <v>34</v>
      </c>
      <c r="F31" s="21" t="s">
        <v>35</v>
      </c>
      <c r="G31" s="20" t="s">
        <v>154</v>
      </c>
      <c r="H31" s="20" t="s">
        <v>187</v>
      </c>
      <c r="I31" s="20" t="s">
        <v>181</v>
      </c>
      <c r="J31" s="22"/>
      <c r="K31" s="20" t="s">
        <v>110</v>
      </c>
      <c r="L31" s="20" t="s">
        <v>143</v>
      </c>
      <c r="M31" s="22" t="s">
        <v>136</v>
      </c>
      <c r="N31" s="22"/>
      <c r="O31" s="20" t="s">
        <v>427</v>
      </c>
      <c r="P31" s="20" t="s">
        <v>428</v>
      </c>
      <c r="Q31" s="20" t="s">
        <v>319</v>
      </c>
      <c r="R31" s="22"/>
      <c r="S31" s="19" t="s">
        <v>782</v>
      </c>
      <c r="T31" s="20" t="str">
        <f>"298,6850"</f>
        <v>298,6850</v>
      </c>
      <c r="U31" s="21" t="s">
        <v>21</v>
      </c>
    </row>
    <row r="32" spans="1:21" ht="12.75">
      <c r="A32" s="15" t="s">
        <v>783</v>
      </c>
      <c r="B32" s="16" t="s">
        <v>784</v>
      </c>
      <c r="C32" s="16" t="s">
        <v>196</v>
      </c>
      <c r="D32" s="16" t="str">
        <f>"0,6246"</f>
        <v>0,6246</v>
      </c>
      <c r="E32" s="17" t="s">
        <v>713</v>
      </c>
      <c r="F32" s="17" t="s">
        <v>714</v>
      </c>
      <c r="G32" s="16" t="s">
        <v>161</v>
      </c>
      <c r="H32" s="16" t="s">
        <v>163</v>
      </c>
      <c r="I32" s="16" t="s">
        <v>427</v>
      </c>
      <c r="J32" s="18"/>
      <c r="K32" s="16" t="s">
        <v>143</v>
      </c>
      <c r="L32" s="16" t="s">
        <v>204</v>
      </c>
      <c r="M32" s="16" t="s">
        <v>135</v>
      </c>
      <c r="N32" s="18"/>
      <c r="O32" s="16" t="s">
        <v>428</v>
      </c>
      <c r="P32" s="18" t="s">
        <v>319</v>
      </c>
      <c r="Q32" s="18" t="s">
        <v>560</v>
      </c>
      <c r="R32" s="18"/>
      <c r="S32" s="15" t="s">
        <v>785</v>
      </c>
      <c r="T32" s="16" t="str">
        <f>"511,1648"</f>
        <v>511,1648</v>
      </c>
      <c r="U32" s="17" t="s">
        <v>21</v>
      </c>
    </row>
    <row r="34" spans="1:20" ht="15.75">
      <c r="A34" s="33" t="s">
        <v>214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3"/>
      <c r="T34" s="34"/>
    </row>
    <row r="35" spans="1:21" ht="12.75">
      <c r="A35" s="11" t="s">
        <v>786</v>
      </c>
      <c r="B35" s="12" t="s">
        <v>787</v>
      </c>
      <c r="C35" s="12" t="s">
        <v>788</v>
      </c>
      <c r="D35" s="12" t="str">
        <f>"0,5945"</f>
        <v>0,5945</v>
      </c>
      <c r="E35" s="13" t="s">
        <v>34</v>
      </c>
      <c r="F35" s="13" t="s">
        <v>35</v>
      </c>
      <c r="G35" s="14" t="s">
        <v>162</v>
      </c>
      <c r="H35" s="14" t="s">
        <v>162</v>
      </c>
      <c r="I35" s="14" t="s">
        <v>162</v>
      </c>
      <c r="J35" s="14"/>
      <c r="K35" s="14" t="s">
        <v>91</v>
      </c>
      <c r="L35" s="14" t="s">
        <v>82</v>
      </c>
      <c r="M35" s="14" t="s">
        <v>82</v>
      </c>
      <c r="N35" s="14"/>
      <c r="O35" s="14" t="s">
        <v>450</v>
      </c>
      <c r="P35" s="14" t="s">
        <v>82</v>
      </c>
      <c r="Q35" s="14" t="s">
        <v>82</v>
      </c>
      <c r="R35" s="14"/>
      <c r="S35" s="11" t="s">
        <v>68</v>
      </c>
      <c r="T35" s="12" t="str">
        <f>"0,0000"</f>
        <v>0,0000</v>
      </c>
      <c r="U35" s="13" t="s">
        <v>21</v>
      </c>
    </row>
    <row r="36" spans="1:21" ht="12.75">
      <c r="A36" s="19" t="s">
        <v>549</v>
      </c>
      <c r="B36" s="20" t="s">
        <v>550</v>
      </c>
      <c r="C36" s="20" t="s">
        <v>434</v>
      </c>
      <c r="D36" s="20" t="str">
        <f>"0,5873"</f>
        <v>0,5873</v>
      </c>
      <c r="E36" s="21" t="s">
        <v>26</v>
      </c>
      <c r="F36" s="21" t="s">
        <v>90</v>
      </c>
      <c r="G36" s="20" t="s">
        <v>143</v>
      </c>
      <c r="H36" s="20" t="s">
        <v>136</v>
      </c>
      <c r="I36" s="22" t="s">
        <v>92</v>
      </c>
      <c r="J36" s="22"/>
      <c r="K36" s="20" t="s">
        <v>136</v>
      </c>
      <c r="L36" s="20" t="s">
        <v>91</v>
      </c>
      <c r="M36" s="22" t="s">
        <v>92</v>
      </c>
      <c r="N36" s="22"/>
      <c r="O36" s="22" t="s">
        <v>187</v>
      </c>
      <c r="P36" s="20" t="s">
        <v>187</v>
      </c>
      <c r="Q36" s="22" t="s">
        <v>181</v>
      </c>
      <c r="R36" s="22"/>
      <c r="S36" s="19" t="s">
        <v>789</v>
      </c>
      <c r="T36" s="20" t="str">
        <f>"282,1242"</f>
        <v>282,1242</v>
      </c>
      <c r="U36" s="21" t="s">
        <v>21</v>
      </c>
    </row>
    <row r="37" spans="1:21" ht="12.75">
      <c r="A37" s="15" t="s">
        <v>790</v>
      </c>
      <c r="B37" s="16" t="s">
        <v>791</v>
      </c>
      <c r="C37" s="16" t="s">
        <v>792</v>
      </c>
      <c r="D37" s="16" t="str">
        <f>"0,5871"</f>
        <v>0,5871</v>
      </c>
      <c r="E37" s="17" t="s">
        <v>26</v>
      </c>
      <c r="F37" s="17" t="s">
        <v>90</v>
      </c>
      <c r="G37" s="16" t="s">
        <v>218</v>
      </c>
      <c r="H37" s="16" t="s">
        <v>219</v>
      </c>
      <c r="I37" s="18" t="s">
        <v>82</v>
      </c>
      <c r="J37" s="18"/>
      <c r="K37" s="18" t="s">
        <v>110</v>
      </c>
      <c r="L37" s="16" t="s">
        <v>110</v>
      </c>
      <c r="M37" s="18" t="s">
        <v>204</v>
      </c>
      <c r="N37" s="18"/>
      <c r="O37" s="16" t="s">
        <v>163</v>
      </c>
      <c r="P37" s="16" t="s">
        <v>427</v>
      </c>
      <c r="Q37" s="16" t="s">
        <v>428</v>
      </c>
      <c r="R37" s="18"/>
      <c r="S37" s="15" t="s">
        <v>793</v>
      </c>
      <c r="T37" s="16" t="str">
        <f>"356,8100"</f>
        <v>356,8100</v>
      </c>
      <c r="U37" s="17" t="s">
        <v>21</v>
      </c>
    </row>
    <row r="39" spans="1:20" ht="15.75">
      <c r="A39" s="33" t="s">
        <v>259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3"/>
      <c r="T39" s="34"/>
    </row>
    <row r="40" spans="1:21" ht="12.75">
      <c r="A40" s="11" t="s">
        <v>794</v>
      </c>
      <c r="B40" s="12" t="s">
        <v>795</v>
      </c>
      <c r="C40" s="12" t="s">
        <v>577</v>
      </c>
      <c r="D40" s="12" t="str">
        <f>"0,5627"</f>
        <v>0,5627</v>
      </c>
      <c r="E40" s="13" t="s">
        <v>796</v>
      </c>
      <c r="F40" s="13" t="s">
        <v>797</v>
      </c>
      <c r="G40" s="14" t="s">
        <v>319</v>
      </c>
      <c r="H40" s="14" t="s">
        <v>319</v>
      </c>
      <c r="I40" s="14" t="s">
        <v>319</v>
      </c>
      <c r="J40" s="14"/>
      <c r="K40" s="14" t="s">
        <v>161</v>
      </c>
      <c r="L40" s="14" t="s">
        <v>82</v>
      </c>
      <c r="M40" s="14" t="s">
        <v>82</v>
      </c>
      <c r="N40" s="14"/>
      <c r="O40" s="14" t="s">
        <v>435</v>
      </c>
      <c r="P40" s="14" t="s">
        <v>82</v>
      </c>
      <c r="Q40" s="14" t="s">
        <v>82</v>
      </c>
      <c r="R40" s="14"/>
      <c r="S40" s="11" t="s">
        <v>68</v>
      </c>
      <c r="T40" s="12" t="str">
        <f>"0,0000"</f>
        <v>0,0000</v>
      </c>
      <c r="U40" s="13" t="s">
        <v>21</v>
      </c>
    </row>
    <row r="41" spans="1:21" ht="12.75">
      <c r="A41" s="19" t="s">
        <v>798</v>
      </c>
      <c r="B41" s="20" t="s">
        <v>799</v>
      </c>
      <c r="C41" s="20" t="s">
        <v>800</v>
      </c>
      <c r="D41" s="20" t="str">
        <f>"0,5619"</f>
        <v>0,5619</v>
      </c>
      <c r="E41" s="21" t="s">
        <v>34</v>
      </c>
      <c r="F41" s="21" t="s">
        <v>35</v>
      </c>
      <c r="G41" s="20" t="s">
        <v>435</v>
      </c>
      <c r="H41" s="22" t="s">
        <v>436</v>
      </c>
      <c r="I41" s="22" t="s">
        <v>436</v>
      </c>
      <c r="J41" s="22"/>
      <c r="K41" s="22" t="s">
        <v>161</v>
      </c>
      <c r="L41" s="22" t="s">
        <v>161</v>
      </c>
      <c r="M41" s="22" t="s">
        <v>82</v>
      </c>
      <c r="N41" s="22"/>
      <c r="O41" s="22" t="s">
        <v>690</v>
      </c>
      <c r="P41" s="22" t="s">
        <v>82</v>
      </c>
      <c r="Q41" s="22" t="s">
        <v>82</v>
      </c>
      <c r="R41" s="22"/>
      <c r="S41" s="19" t="s">
        <v>68</v>
      </c>
      <c r="T41" s="20" t="str">
        <f>"0,0000"</f>
        <v>0,0000</v>
      </c>
      <c r="U41" s="21" t="s">
        <v>21</v>
      </c>
    </row>
    <row r="42" spans="1:21" ht="12.75">
      <c r="A42" s="19" t="s">
        <v>801</v>
      </c>
      <c r="B42" s="20" t="s">
        <v>802</v>
      </c>
      <c r="C42" s="20" t="s">
        <v>803</v>
      </c>
      <c r="D42" s="20" t="str">
        <f>"0,5689"</f>
        <v>0,5689</v>
      </c>
      <c r="E42" s="21" t="s">
        <v>804</v>
      </c>
      <c r="F42" s="21" t="s">
        <v>805</v>
      </c>
      <c r="G42" s="20" t="s">
        <v>690</v>
      </c>
      <c r="H42" s="22" t="s">
        <v>806</v>
      </c>
      <c r="I42" s="20" t="s">
        <v>806</v>
      </c>
      <c r="J42" s="22"/>
      <c r="K42" s="20" t="s">
        <v>290</v>
      </c>
      <c r="L42" s="20" t="s">
        <v>530</v>
      </c>
      <c r="M42" s="20" t="s">
        <v>807</v>
      </c>
      <c r="N42" s="22"/>
      <c r="O42" s="20" t="s">
        <v>808</v>
      </c>
      <c r="P42" s="20" t="s">
        <v>809</v>
      </c>
      <c r="Q42" s="22" t="s">
        <v>82</v>
      </c>
      <c r="R42" s="22"/>
      <c r="S42" s="19" t="s">
        <v>810</v>
      </c>
      <c r="T42" s="20" t="str">
        <f>"439,5139"</f>
        <v>439,5139</v>
      </c>
      <c r="U42" s="21" t="s">
        <v>21</v>
      </c>
    </row>
    <row r="43" spans="1:21" ht="12.75">
      <c r="A43" s="19" t="s">
        <v>811</v>
      </c>
      <c r="B43" s="20" t="s">
        <v>812</v>
      </c>
      <c r="C43" s="20" t="s">
        <v>813</v>
      </c>
      <c r="D43" s="20" t="str">
        <f>"0,5691"</f>
        <v>0,5691</v>
      </c>
      <c r="E43" s="21" t="s">
        <v>26</v>
      </c>
      <c r="F43" s="21" t="s">
        <v>90</v>
      </c>
      <c r="G43" s="20" t="s">
        <v>427</v>
      </c>
      <c r="H43" s="20" t="s">
        <v>319</v>
      </c>
      <c r="I43" s="20" t="s">
        <v>450</v>
      </c>
      <c r="J43" s="22"/>
      <c r="K43" s="22" t="s">
        <v>187</v>
      </c>
      <c r="L43" s="20" t="s">
        <v>181</v>
      </c>
      <c r="M43" s="20" t="s">
        <v>285</v>
      </c>
      <c r="N43" s="22"/>
      <c r="O43" s="20" t="s">
        <v>436</v>
      </c>
      <c r="P43" s="22" t="s">
        <v>437</v>
      </c>
      <c r="Q43" s="20" t="s">
        <v>690</v>
      </c>
      <c r="R43" s="22"/>
      <c r="S43" s="19" t="s">
        <v>814</v>
      </c>
      <c r="T43" s="20" t="str">
        <f>"374,1833"</f>
        <v>374,1833</v>
      </c>
      <c r="U43" s="21" t="s">
        <v>21</v>
      </c>
    </row>
    <row r="44" spans="1:21" ht="12.75">
      <c r="A44" s="19" t="s">
        <v>815</v>
      </c>
      <c r="B44" s="20" t="s">
        <v>816</v>
      </c>
      <c r="C44" s="20" t="s">
        <v>559</v>
      </c>
      <c r="D44" s="20" t="str">
        <f>"0,5599"</f>
        <v>0,5599</v>
      </c>
      <c r="E44" s="21" t="s">
        <v>817</v>
      </c>
      <c r="F44" s="21" t="s">
        <v>818</v>
      </c>
      <c r="G44" s="20" t="s">
        <v>450</v>
      </c>
      <c r="H44" s="20" t="s">
        <v>451</v>
      </c>
      <c r="I44" s="20" t="s">
        <v>626</v>
      </c>
      <c r="J44" s="22"/>
      <c r="K44" s="20" t="s">
        <v>181</v>
      </c>
      <c r="L44" s="20" t="s">
        <v>162</v>
      </c>
      <c r="M44" s="22" t="s">
        <v>427</v>
      </c>
      <c r="N44" s="22"/>
      <c r="O44" s="20" t="s">
        <v>450</v>
      </c>
      <c r="P44" s="20" t="s">
        <v>451</v>
      </c>
      <c r="Q44" s="22" t="s">
        <v>626</v>
      </c>
      <c r="R44" s="22"/>
      <c r="S44" s="19" t="s">
        <v>819</v>
      </c>
      <c r="T44" s="20" t="str">
        <f>"366,7345"</f>
        <v>366,7345</v>
      </c>
      <c r="U44" s="21" t="s">
        <v>21</v>
      </c>
    </row>
    <row r="45" spans="1:21" ht="12.75">
      <c r="A45" s="15" t="s">
        <v>801</v>
      </c>
      <c r="B45" s="16" t="s">
        <v>820</v>
      </c>
      <c r="C45" s="16" t="s">
        <v>803</v>
      </c>
      <c r="D45" s="16" t="str">
        <f>"0,5689"</f>
        <v>0,5689</v>
      </c>
      <c r="E45" s="17" t="s">
        <v>804</v>
      </c>
      <c r="F45" s="17" t="s">
        <v>805</v>
      </c>
      <c r="G45" s="16" t="s">
        <v>690</v>
      </c>
      <c r="H45" s="18" t="s">
        <v>806</v>
      </c>
      <c r="I45" s="16" t="s">
        <v>806</v>
      </c>
      <c r="J45" s="18"/>
      <c r="K45" s="16" t="s">
        <v>290</v>
      </c>
      <c r="L45" s="16" t="s">
        <v>530</v>
      </c>
      <c r="M45" s="16" t="s">
        <v>807</v>
      </c>
      <c r="N45" s="18"/>
      <c r="O45" s="16" t="s">
        <v>808</v>
      </c>
      <c r="P45" s="16" t="s">
        <v>809</v>
      </c>
      <c r="Q45" s="18" t="s">
        <v>82</v>
      </c>
      <c r="R45" s="18"/>
      <c r="S45" s="15" t="s">
        <v>810</v>
      </c>
      <c r="T45" s="16" t="str">
        <f>"628,5048"</f>
        <v>628,5048</v>
      </c>
      <c r="U45" s="17" t="s">
        <v>21</v>
      </c>
    </row>
    <row r="47" spans="1:20" ht="15.75">
      <c r="A47" s="33" t="s">
        <v>286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3"/>
      <c r="T47" s="34"/>
    </row>
    <row r="48" spans="1:21" ht="12.75">
      <c r="A48" s="11" t="s">
        <v>821</v>
      </c>
      <c r="B48" s="12" t="s">
        <v>822</v>
      </c>
      <c r="C48" s="12" t="s">
        <v>823</v>
      </c>
      <c r="D48" s="12" t="str">
        <f>"0,5489"</f>
        <v>0,5489</v>
      </c>
      <c r="E48" s="13" t="s">
        <v>26</v>
      </c>
      <c r="F48" s="13" t="s">
        <v>90</v>
      </c>
      <c r="G48" s="12" t="s">
        <v>808</v>
      </c>
      <c r="H48" s="12" t="s">
        <v>824</v>
      </c>
      <c r="I48" s="12" t="s">
        <v>809</v>
      </c>
      <c r="J48" s="14"/>
      <c r="K48" s="12" t="s">
        <v>175</v>
      </c>
      <c r="L48" s="12" t="s">
        <v>162</v>
      </c>
      <c r="M48" s="14" t="s">
        <v>163</v>
      </c>
      <c r="N48" s="14"/>
      <c r="O48" s="14" t="s">
        <v>806</v>
      </c>
      <c r="P48" s="12" t="s">
        <v>705</v>
      </c>
      <c r="Q48" s="14" t="s">
        <v>706</v>
      </c>
      <c r="R48" s="14"/>
      <c r="S48" s="11" t="s">
        <v>825</v>
      </c>
      <c r="T48" s="12" t="str">
        <f>"425,5073"</f>
        <v>425,5073</v>
      </c>
      <c r="U48" s="13" t="s">
        <v>21</v>
      </c>
    </row>
    <row r="49" spans="1:21" ht="12.75">
      <c r="A49" s="19" t="s">
        <v>826</v>
      </c>
      <c r="B49" s="20" t="s">
        <v>827</v>
      </c>
      <c r="C49" s="20" t="s">
        <v>828</v>
      </c>
      <c r="D49" s="20" t="str">
        <f>"0,5416"</f>
        <v>0,5416</v>
      </c>
      <c r="E49" s="21" t="s">
        <v>26</v>
      </c>
      <c r="F49" s="21" t="s">
        <v>90</v>
      </c>
      <c r="G49" s="20" t="s">
        <v>435</v>
      </c>
      <c r="H49" s="20" t="s">
        <v>436</v>
      </c>
      <c r="I49" s="20" t="s">
        <v>437</v>
      </c>
      <c r="J49" s="22"/>
      <c r="K49" s="20" t="s">
        <v>427</v>
      </c>
      <c r="L49" s="20" t="s">
        <v>428</v>
      </c>
      <c r="M49" s="22" t="s">
        <v>82</v>
      </c>
      <c r="N49" s="22"/>
      <c r="O49" s="22" t="s">
        <v>706</v>
      </c>
      <c r="P49" s="20" t="s">
        <v>706</v>
      </c>
      <c r="Q49" s="22" t="s">
        <v>829</v>
      </c>
      <c r="R49" s="22"/>
      <c r="S49" s="19" t="s">
        <v>830</v>
      </c>
      <c r="T49" s="20" t="str">
        <f>"417,0320"</f>
        <v>417,0320</v>
      </c>
      <c r="U49" s="21" t="s">
        <v>21</v>
      </c>
    </row>
    <row r="50" spans="1:21" ht="12.75">
      <c r="A50" s="19" t="s">
        <v>821</v>
      </c>
      <c r="B50" s="20" t="s">
        <v>831</v>
      </c>
      <c r="C50" s="20" t="s">
        <v>823</v>
      </c>
      <c r="D50" s="20" t="str">
        <f>"0,5489"</f>
        <v>0,5489</v>
      </c>
      <c r="E50" s="21" t="s">
        <v>26</v>
      </c>
      <c r="F50" s="21" t="s">
        <v>90</v>
      </c>
      <c r="G50" s="20" t="s">
        <v>808</v>
      </c>
      <c r="H50" s="20" t="s">
        <v>824</v>
      </c>
      <c r="I50" s="20" t="s">
        <v>809</v>
      </c>
      <c r="J50" s="22"/>
      <c r="K50" s="20" t="s">
        <v>175</v>
      </c>
      <c r="L50" s="20" t="s">
        <v>162</v>
      </c>
      <c r="M50" s="22" t="s">
        <v>163</v>
      </c>
      <c r="N50" s="22"/>
      <c r="O50" s="22" t="s">
        <v>806</v>
      </c>
      <c r="P50" s="20" t="s">
        <v>705</v>
      </c>
      <c r="Q50" s="22" t="s">
        <v>706</v>
      </c>
      <c r="R50" s="22"/>
      <c r="S50" s="19" t="s">
        <v>825</v>
      </c>
      <c r="T50" s="20" t="str">
        <f>"417,1640"</f>
        <v>417,1640</v>
      </c>
      <c r="U50" s="21" t="s">
        <v>21</v>
      </c>
    </row>
    <row r="51" spans="1:21" ht="12.75">
      <c r="A51" s="19" t="s">
        <v>832</v>
      </c>
      <c r="B51" s="20" t="s">
        <v>833</v>
      </c>
      <c r="C51" s="20" t="s">
        <v>834</v>
      </c>
      <c r="D51" s="20" t="str">
        <f>"0,5399"</f>
        <v>0,5399</v>
      </c>
      <c r="E51" s="21" t="s">
        <v>34</v>
      </c>
      <c r="F51" s="21" t="s">
        <v>35</v>
      </c>
      <c r="G51" s="22" t="s">
        <v>319</v>
      </c>
      <c r="H51" s="22" t="s">
        <v>450</v>
      </c>
      <c r="I51" s="20" t="s">
        <v>450</v>
      </c>
      <c r="J51" s="22"/>
      <c r="K51" s="20" t="s">
        <v>180</v>
      </c>
      <c r="L51" s="20" t="s">
        <v>161</v>
      </c>
      <c r="M51" s="20" t="s">
        <v>162</v>
      </c>
      <c r="N51" s="22"/>
      <c r="O51" s="20" t="s">
        <v>450</v>
      </c>
      <c r="P51" s="20" t="s">
        <v>442</v>
      </c>
      <c r="Q51" s="22" t="s">
        <v>835</v>
      </c>
      <c r="R51" s="22"/>
      <c r="S51" s="19" t="s">
        <v>836</v>
      </c>
      <c r="T51" s="20" t="str">
        <f>"337,4375"</f>
        <v>337,4375</v>
      </c>
      <c r="U51" s="21" t="s">
        <v>21</v>
      </c>
    </row>
    <row r="52" spans="1:21" ht="12.75">
      <c r="A52" s="19" t="s">
        <v>837</v>
      </c>
      <c r="B52" s="20" t="s">
        <v>838</v>
      </c>
      <c r="C52" s="20" t="s">
        <v>839</v>
      </c>
      <c r="D52" s="20" t="str">
        <f>"0,5437"</f>
        <v>0,5437</v>
      </c>
      <c r="E52" s="21" t="s">
        <v>34</v>
      </c>
      <c r="F52" s="21" t="s">
        <v>35</v>
      </c>
      <c r="G52" s="20" t="s">
        <v>225</v>
      </c>
      <c r="H52" s="20" t="s">
        <v>428</v>
      </c>
      <c r="I52" s="20" t="s">
        <v>318</v>
      </c>
      <c r="J52" s="22"/>
      <c r="K52" s="20" t="s">
        <v>154</v>
      </c>
      <c r="L52" s="20" t="s">
        <v>187</v>
      </c>
      <c r="M52" s="20" t="s">
        <v>181</v>
      </c>
      <c r="N52" s="22"/>
      <c r="O52" s="20" t="s">
        <v>428</v>
      </c>
      <c r="P52" s="20" t="s">
        <v>560</v>
      </c>
      <c r="Q52" s="22" t="s">
        <v>686</v>
      </c>
      <c r="R52" s="22"/>
      <c r="S52" s="19" t="s">
        <v>840</v>
      </c>
      <c r="T52" s="20" t="str">
        <f>"315,3460"</f>
        <v>315,3460</v>
      </c>
      <c r="U52" s="21" t="s">
        <v>21</v>
      </c>
    </row>
    <row r="53" spans="1:21" ht="12.75">
      <c r="A53" s="19" t="s">
        <v>841</v>
      </c>
      <c r="B53" s="20" t="s">
        <v>842</v>
      </c>
      <c r="C53" s="20" t="s">
        <v>294</v>
      </c>
      <c r="D53" s="20" t="str">
        <f>"0,5391"</f>
        <v>0,5391</v>
      </c>
      <c r="E53" s="21" t="s">
        <v>133</v>
      </c>
      <c r="F53" s="21" t="s">
        <v>134</v>
      </c>
      <c r="G53" s="20" t="s">
        <v>450</v>
      </c>
      <c r="H53" s="20" t="s">
        <v>435</v>
      </c>
      <c r="I53" s="20" t="s">
        <v>436</v>
      </c>
      <c r="J53" s="22"/>
      <c r="K53" s="20" t="s">
        <v>192</v>
      </c>
      <c r="L53" s="20" t="s">
        <v>186</v>
      </c>
      <c r="M53" s="22" t="s">
        <v>82</v>
      </c>
      <c r="N53" s="22"/>
      <c r="O53" s="20" t="s">
        <v>809</v>
      </c>
      <c r="P53" s="20" t="s">
        <v>705</v>
      </c>
      <c r="Q53" s="22" t="s">
        <v>829</v>
      </c>
      <c r="R53" s="22"/>
      <c r="S53" s="19" t="s">
        <v>843</v>
      </c>
      <c r="T53" s="20" t="str">
        <f>"403,4085"</f>
        <v>403,4085</v>
      </c>
      <c r="U53" s="21" t="s">
        <v>844</v>
      </c>
    </row>
    <row r="54" spans="1:21" ht="12.75">
      <c r="A54" s="15" t="s">
        <v>845</v>
      </c>
      <c r="B54" s="16" t="s">
        <v>846</v>
      </c>
      <c r="C54" s="16" t="s">
        <v>597</v>
      </c>
      <c r="D54" s="16" t="str">
        <f>"0,5366"</f>
        <v>0,5366</v>
      </c>
      <c r="E54" s="17" t="s">
        <v>133</v>
      </c>
      <c r="F54" s="17" t="s">
        <v>134</v>
      </c>
      <c r="G54" s="16" t="s">
        <v>319</v>
      </c>
      <c r="H54" s="16" t="s">
        <v>450</v>
      </c>
      <c r="I54" s="16" t="s">
        <v>847</v>
      </c>
      <c r="J54" s="18"/>
      <c r="K54" s="16" t="s">
        <v>161</v>
      </c>
      <c r="L54" s="16" t="s">
        <v>163</v>
      </c>
      <c r="M54" s="16" t="s">
        <v>427</v>
      </c>
      <c r="N54" s="18"/>
      <c r="O54" s="16" t="s">
        <v>451</v>
      </c>
      <c r="P54" s="16" t="s">
        <v>848</v>
      </c>
      <c r="Q54" s="16" t="s">
        <v>849</v>
      </c>
      <c r="R54" s="18"/>
      <c r="S54" s="15" t="s">
        <v>850</v>
      </c>
      <c r="T54" s="16" t="str">
        <f>"423,2929"</f>
        <v>423,2929</v>
      </c>
      <c r="U54" s="17" t="s">
        <v>21</v>
      </c>
    </row>
    <row r="56" spans="1:20" ht="15.75">
      <c r="A56" s="33" t="s">
        <v>300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3"/>
      <c r="T56" s="34"/>
    </row>
    <row r="57" spans="1:21" ht="12.75">
      <c r="A57" s="11" t="s">
        <v>851</v>
      </c>
      <c r="B57" s="12" t="s">
        <v>852</v>
      </c>
      <c r="C57" s="12" t="s">
        <v>853</v>
      </c>
      <c r="D57" s="12" t="str">
        <f>"0,5240"</f>
        <v>0,5240</v>
      </c>
      <c r="E57" s="13" t="s">
        <v>478</v>
      </c>
      <c r="F57" s="13" t="s">
        <v>732</v>
      </c>
      <c r="G57" s="12" t="s">
        <v>854</v>
      </c>
      <c r="H57" s="12" t="s">
        <v>829</v>
      </c>
      <c r="I57" s="12" t="s">
        <v>855</v>
      </c>
      <c r="J57" s="14"/>
      <c r="K57" s="12" t="s">
        <v>442</v>
      </c>
      <c r="L57" s="14" t="s">
        <v>82</v>
      </c>
      <c r="M57" s="14" t="s">
        <v>82</v>
      </c>
      <c r="N57" s="14"/>
      <c r="O57" s="12" t="s">
        <v>854</v>
      </c>
      <c r="P57" s="12" t="s">
        <v>829</v>
      </c>
      <c r="Q57" s="14" t="s">
        <v>698</v>
      </c>
      <c r="R57" s="14"/>
      <c r="S57" s="11" t="s">
        <v>856</v>
      </c>
      <c r="T57" s="12" t="str">
        <f>"466,4045"</f>
        <v>466,4045</v>
      </c>
      <c r="U57" s="13" t="s">
        <v>21</v>
      </c>
    </row>
    <row r="58" spans="1:21" ht="12.75">
      <c r="A58" s="19" t="s">
        <v>857</v>
      </c>
      <c r="B58" s="20" t="s">
        <v>858</v>
      </c>
      <c r="C58" s="20" t="s">
        <v>859</v>
      </c>
      <c r="D58" s="20" t="str">
        <f>"0,5285"</f>
        <v>0,5285</v>
      </c>
      <c r="E58" s="21" t="s">
        <v>860</v>
      </c>
      <c r="F58" s="21" t="s">
        <v>861</v>
      </c>
      <c r="G58" s="20" t="s">
        <v>437</v>
      </c>
      <c r="H58" s="22" t="s">
        <v>809</v>
      </c>
      <c r="I58" s="20" t="s">
        <v>809</v>
      </c>
      <c r="J58" s="22"/>
      <c r="K58" s="20" t="s">
        <v>428</v>
      </c>
      <c r="L58" s="22" t="s">
        <v>318</v>
      </c>
      <c r="M58" s="22" t="s">
        <v>318</v>
      </c>
      <c r="N58" s="22"/>
      <c r="O58" s="20" t="s">
        <v>806</v>
      </c>
      <c r="P58" s="22" t="s">
        <v>862</v>
      </c>
      <c r="Q58" s="22" t="s">
        <v>862</v>
      </c>
      <c r="R58" s="22"/>
      <c r="S58" s="19" t="s">
        <v>863</v>
      </c>
      <c r="T58" s="20" t="str">
        <f>"404,3025"</f>
        <v>404,3025</v>
      </c>
      <c r="U58" s="21" t="s">
        <v>21</v>
      </c>
    </row>
    <row r="59" spans="1:21" ht="12.75">
      <c r="A59" s="15" t="s">
        <v>864</v>
      </c>
      <c r="B59" s="16" t="s">
        <v>865</v>
      </c>
      <c r="C59" s="16" t="s">
        <v>866</v>
      </c>
      <c r="D59" s="16" t="str">
        <f>"0,5253"</f>
        <v>0,5253</v>
      </c>
      <c r="E59" s="17" t="s">
        <v>173</v>
      </c>
      <c r="F59" s="17" t="s">
        <v>867</v>
      </c>
      <c r="G59" s="16" t="s">
        <v>690</v>
      </c>
      <c r="H59" s="18" t="s">
        <v>868</v>
      </c>
      <c r="I59" s="16" t="s">
        <v>868</v>
      </c>
      <c r="J59" s="18"/>
      <c r="K59" s="16" t="s">
        <v>186</v>
      </c>
      <c r="L59" s="16" t="s">
        <v>187</v>
      </c>
      <c r="M59" s="16" t="s">
        <v>180</v>
      </c>
      <c r="N59" s="18"/>
      <c r="O59" s="16" t="s">
        <v>806</v>
      </c>
      <c r="P59" s="16" t="s">
        <v>854</v>
      </c>
      <c r="Q59" s="16" t="s">
        <v>706</v>
      </c>
      <c r="R59" s="18"/>
      <c r="S59" s="15" t="s">
        <v>869</v>
      </c>
      <c r="T59" s="16" t="str">
        <f>"396,6015"</f>
        <v>396,6015</v>
      </c>
      <c r="U59" s="17" t="s">
        <v>21</v>
      </c>
    </row>
    <row r="61" ht="15.75">
      <c r="E61" s="23" t="s">
        <v>325</v>
      </c>
    </row>
    <row r="62" ht="15.75">
      <c r="E62" s="23" t="s">
        <v>326</v>
      </c>
    </row>
    <row r="63" ht="15.75">
      <c r="E63" s="23" t="s">
        <v>327</v>
      </c>
    </row>
    <row r="64" ht="15.75">
      <c r="E64" s="23" t="s">
        <v>328</v>
      </c>
    </row>
    <row r="65" ht="15.75">
      <c r="E65" s="23" t="s">
        <v>328</v>
      </c>
    </row>
    <row r="66" ht="15.75">
      <c r="E66" s="23" t="s">
        <v>329</v>
      </c>
    </row>
    <row r="67" ht="15.75">
      <c r="E67" s="23"/>
    </row>
    <row r="69" spans="1:2" ht="18">
      <c r="A69" s="24" t="s">
        <v>330</v>
      </c>
      <c r="B69" s="25"/>
    </row>
    <row r="70" spans="1:2" ht="15.75">
      <c r="A70" s="26" t="s">
        <v>331</v>
      </c>
      <c r="B70" s="10"/>
    </row>
    <row r="71" spans="1:2" ht="13.5">
      <c r="A71" s="28"/>
      <c r="B71" s="29" t="s">
        <v>361</v>
      </c>
    </row>
    <row r="72" spans="1:5" ht="13.5">
      <c r="A72" s="30" t="s">
        <v>333</v>
      </c>
      <c r="B72" s="30" t="s">
        <v>334</v>
      </c>
      <c r="C72" s="30" t="s">
        <v>335</v>
      </c>
      <c r="D72" s="30" t="s">
        <v>336</v>
      </c>
      <c r="E72" s="30" t="s">
        <v>337</v>
      </c>
    </row>
    <row r="73" spans="1:5" ht="12.75">
      <c r="A73" s="27" t="s">
        <v>735</v>
      </c>
      <c r="B73" s="1" t="s">
        <v>362</v>
      </c>
      <c r="C73" s="1" t="s">
        <v>355</v>
      </c>
      <c r="D73" s="1" t="s">
        <v>224</v>
      </c>
      <c r="E73" s="4" t="s">
        <v>870</v>
      </c>
    </row>
    <row r="75" spans="1:2" ht="13.5">
      <c r="A75" s="28"/>
      <c r="B75" s="29" t="s">
        <v>332</v>
      </c>
    </row>
    <row r="76" spans="1:5" ht="13.5">
      <c r="A76" s="30" t="s">
        <v>333</v>
      </c>
      <c r="B76" s="30" t="s">
        <v>334</v>
      </c>
      <c r="C76" s="30" t="s">
        <v>335</v>
      </c>
      <c r="D76" s="30" t="s">
        <v>336</v>
      </c>
      <c r="E76" s="30" t="s">
        <v>337</v>
      </c>
    </row>
    <row r="77" spans="1:5" ht="12.75">
      <c r="A77" s="27" t="s">
        <v>730</v>
      </c>
      <c r="B77" s="1" t="s">
        <v>332</v>
      </c>
      <c r="C77" s="1" t="s">
        <v>340</v>
      </c>
      <c r="D77" s="1" t="s">
        <v>855</v>
      </c>
      <c r="E77" s="4" t="s">
        <v>871</v>
      </c>
    </row>
    <row r="78" spans="1:5" ht="12.75">
      <c r="A78" s="27" t="s">
        <v>741</v>
      </c>
      <c r="B78" s="1" t="s">
        <v>332</v>
      </c>
      <c r="C78" s="1" t="s">
        <v>355</v>
      </c>
      <c r="D78" s="1" t="s">
        <v>872</v>
      </c>
      <c r="E78" s="4" t="s">
        <v>873</v>
      </c>
    </row>
    <row r="79" spans="1:5" ht="12.75">
      <c r="A79" s="27" t="s">
        <v>726</v>
      </c>
      <c r="B79" s="1" t="s">
        <v>332</v>
      </c>
      <c r="C79" s="1" t="s">
        <v>338</v>
      </c>
      <c r="D79" s="1" t="s">
        <v>849</v>
      </c>
      <c r="E79" s="4" t="s">
        <v>874</v>
      </c>
    </row>
    <row r="80" spans="1:5" ht="12.75">
      <c r="A80" s="27" t="s">
        <v>745</v>
      </c>
      <c r="B80" s="1" t="s">
        <v>332</v>
      </c>
      <c r="C80" s="1" t="s">
        <v>392</v>
      </c>
      <c r="D80" s="1" t="s">
        <v>443</v>
      </c>
      <c r="E80" s="4" t="s">
        <v>875</v>
      </c>
    </row>
    <row r="83" spans="1:2" ht="15.75">
      <c r="A83" s="26" t="s">
        <v>352</v>
      </c>
      <c r="B83" s="10"/>
    </row>
    <row r="84" spans="1:2" ht="13.5">
      <c r="A84" s="28"/>
      <c r="B84" s="29" t="s">
        <v>353</v>
      </c>
    </row>
    <row r="85" spans="1:5" ht="13.5">
      <c r="A85" s="30" t="s">
        <v>333</v>
      </c>
      <c r="B85" s="30" t="s">
        <v>334</v>
      </c>
      <c r="C85" s="30" t="s">
        <v>335</v>
      </c>
      <c r="D85" s="30" t="s">
        <v>336</v>
      </c>
      <c r="E85" s="30" t="s">
        <v>337</v>
      </c>
    </row>
    <row r="86" spans="1:5" ht="12.75">
      <c r="A86" s="27" t="s">
        <v>759</v>
      </c>
      <c r="B86" s="1" t="s">
        <v>632</v>
      </c>
      <c r="C86" s="1" t="s">
        <v>392</v>
      </c>
      <c r="D86" s="1" t="s">
        <v>876</v>
      </c>
      <c r="E86" s="4" t="s">
        <v>877</v>
      </c>
    </row>
    <row r="87" spans="1:5" ht="12.75">
      <c r="A87" s="27" t="s">
        <v>769</v>
      </c>
      <c r="B87" s="1" t="s">
        <v>357</v>
      </c>
      <c r="C87" s="1" t="s">
        <v>368</v>
      </c>
      <c r="D87" s="1" t="s">
        <v>878</v>
      </c>
      <c r="E87" s="4" t="s">
        <v>879</v>
      </c>
    </row>
    <row r="88" spans="1:5" ht="12.75">
      <c r="A88" s="27" t="s">
        <v>753</v>
      </c>
      <c r="B88" s="1" t="s">
        <v>357</v>
      </c>
      <c r="C88" s="1" t="s">
        <v>392</v>
      </c>
      <c r="D88" s="1" t="s">
        <v>880</v>
      </c>
      <c r="E88" s="4" t="s">
        <v>881</v>
      </c>
    </row>
    <row r="90" spans="1:2" ht="13.5">
      <c r="A90" s="28"/>
      <c r="B90" s="29" t="s">
        <v>361</v>
      </c>
    </row>
    <row r="91" spans="1:5" ht="13.5">
      <c r="A91" s="30" t="s">
        <v>333</v>
      </c>
      <c r="B91" s="30" t="s">
        <v>334</v>
      </c>
      <c r="C91" s="30" t="s">
        <v>335</v>
      </c>
      <c r="D91" s="30" t="s">
        <v>336</v>
      </c>
      <c r="E91" s="30" t="s">
        <v>337</v>
      </c>
    </row>
    <row r="92" spans="1:5" ht="12.75">
      <c r="A92" s="27" t="s">
        <v>821</v>
      </c>
      <c r="B92" s="1" t="s">
        <v>362</v>
      </c>
      <c r="C92" s="1" t="s">
        <v>379</v>
      </c>
      <c r="D92" s="1" t="s">
        <v>882</v>
      </c>
      <c r="E92" s="4" t="s">
        <v>883</v>
      </c>
    </row>
    <row r="93" spans="1:5" ht="12.75">
      <c r="A93" s="27" t="s">
        <v>762</v>
      </c>
      <c r="B93" s="1" t="s">
        <v>362</v>
      </c>
      <c r="C93" s="1" t="s">
        <v>392</v>
      </c>
      <c r="D93" s="1" t="s">
        <v>876</v>
      </c>
      <c r="E93" s="4" t="s">
        <v>884</v>
      </c>
    </row>
    <row r="94" spans="1:5" ht="12.75">
      <c r="A94" s="27" t="s">
        <v>773</v>
      </c>
      <c r="B94" s="1" t="s">
        <v>362</v>
      </c>
      <c r="C94" s="1" t="s">
        <v>368</v>
      </c>
      <c r="D94" s="1" t="s">
        <v>885</v>
      </c>
      <c r="E94" s="4" t="s">
        <v>886</v>
      </c>
    </row>
    <row r="96" spans="1:2" ht="13.5">
      <c r="A96" s="28"/>
      <c r="B96" s="29" t="s">
        <v>332</v>
      </c>
    </row>
    <row r="97" spans="1:5" ht="13.5">
      <c r="A97" s="30" t="s">
        <v>333</v>
      </c>
      <c r="B97" s="30" t="s">
        <v>334</v>
      </c>
      <c r="C97" s="30" t="s">
        <v>335</v>
      </c>
      <c r="D97" s="30" t="s">
        <v>336</v>
      </c>
      <c r="E97" s="30" t="s">
        <v>337</v>
      </c>
    </row>
    <row r="98" spans="1:5" ht="12.75">
      <c r="A98" s="27" t="s">
        <v>851</v>
      </c>
      <c r="B98" s="1" t="s">
        <v>332</v>
      </c>
      <c r="C98" s="1" t="s">
        <v>403</v>
      </c>
      <c r="D98" s="1" t="s">
        <v>887</v>
      </c>
      <c r="E98" s="4" t="s">
        <v>888</v>
      </c>
    </row>
    <row r="99" spans="1:5" ht="12.75">
      <c r="A99" s="27" t="s">
        <v>801</v>
      </c>
      <c r="B99" s="1" t="s">
        <v>332</v>
      </c>
      <c r="C99" s="1" t="s">
        <v>363</v>
      </c>
      <c r="D99" s="1" t="s">
        <v>889</v>
      </c>
      <c r="E99" s="4" t="s">
        <v>890</v>
      </c>
    </row>
    <row r="100" spans="1:5" ht="12.75">
      <c r="A100" s="27" t="s">
        <v>821</v>
      </c>
      <c r="B100" s="1" t="s">
        <v>332</v>
      </c>
      <c r="C100" s="1" t="s">
        <v>379</v>
      </c>
      <c r="D100" s="1" t="s">
        <v>882</v>
      </c>
      <c r="E100" s="4" t="s">
        <v>891</v>
      </c>
    </row>
    <row r="101" spans="1:5" ht="12.75">
      <c r="A101" s="27" t="s">
        <v>826</v>
      </c>
      <c r="B101" s="1" t="s">
        <v>332</v>
      </c>
      <c r="C101" s="1" t="s">
        <v>379</v>
      </c>
      <c r="D101" s="1" t="s">
        <v>892</v>
      </c>
      <c r="E101" s="4" t="s">
        <v>893</v>
      </c>
    </row>
    <row r="102" spans="1:5" ht="12.75">
      <c r="A102" s="27" t="s">
        <v>857</v>
      </c>
      <c r="B102" s="1" t="s">
        <v>332</v>
      </c>
      <c r="C102" s="1" t="s">
        <v>403</v>
      </c>
      <c r="D102" s="1" t="s">
        <v>894</v>
      </c>
      <c r="E102" s="4" t="s">
        <v>895</v>
      </c>
    </row>
    <row r="103" spans="1:5" ht="12.75">
      <c r="A103" s="27" t="s">
        <v>864</v>
      </c>
      <c r="B103" s="1" t="s">
        <v>332</v>
      </c>
      <c r="C103" s="1" t="s">
        <v>403</v>
      </c>
      <c r="D103" s="1" t="s">
        <v>896</v>
      </c>
      <c r="E103" s="4" t="s">
        <v>897</v>
      </c>
    </row>
    <row r="104" spans="1:5" ht="12.75">
      <c r="A104" s="27" t="s">
        <v>811</v>
      </c>
      <c r="B104" s="1" t="s">
        <v>332</v>
      </c>
      <c r="C104" s="1" t="s">
        <v>363</v>
      </c>
      <c r="D104" s="1" t="s">
        <v>898</v>
      </c>
      <c r="E104" s="4" t="s">
        <v>899</v>
      </c>
    </row>
    <row r="105" spans="1:5" ht="12.75">
      <c r="A105" s="27" t="s">
        <v>815</v>
      </c>
      <c r="B105" s="1" t="s">
        <v>332</v>
      </c>
      <c r="C105" s="1" t="s">
        <v>363</v>
      </c>
      <c r="D105" s="1" t="s">
        <v>900</v>
      </c>
      <c r="E105" s="4" t="s">
        <v>901</v>
      </c>
    </row>
    <row r="106" spans="1:5" ht="12.75">
      <c r="A106" s="27" t="s">
        <v>832</v>
      </c>
      <c r="B106" s="1" t="s">
        <v>332</v>
      </c>
      <c r="C106" s="1" t="s">
        <v>379</v>
      </c>
      <c r="D106" s="1" t="s">
        <v>902</v>
      </c>
      <c r="E106" s="4" t="s">
        <v>903</v>
      </c>
    </row>
    <row r="107" spans="1:5" ht="12.75">
      <c r="A107" s="27" t="s">
        <v>837</v>
      </c>
      <c r="B107" s="1" t="s">
        <v>332</v>
      </c>
      <c r="C107" s="1" t="s">
        <v>379</v>
      </c>
      <c r="D107" s="1" t="s">
        <v>904</v>
      </c>
      <c r="E107" s="4" t="s">
        <v>905</v>
      </c>
    </row>
    <row r="108" spans="1:5" ht="12.75">
      <c r="A108" s="27" t="s">
        <v>773</v>
      </c>
      <c r="B108" s="1" t="s">
        <v>332</v>
      </c>
      <c r="C108" s="1" t="s">
        <v>368</v>
      </c>
      <c r="D108" s="1" t="s">
        <v>885</v>
      </c>
      <c r="E108" s="4" t="s">
        <v>906</v>
      </c>
    </row>
    <row r="109" spans="1:5" ht="12.75">
      <c r="A109" s="27" t="s">
        <v>779</v>
      </c>
      <c r="B109" s="1" t="s">
        <v>332</v>
      </c>
      <c r="C109" s="1" t="s">
        <v>368</v>
      </c>
      <c r="D109" s="1" t="s">
        <v>907</v>
      </c>
      <c r="E109" s="4" t="s">
        <v>908</v>
      </c>
    </row>
    <row r="110" spans="1:5" ht="12.75">
      <c r="A110" s="27" t="s">
        <v>765</v>
      </c>
      <c r="B110" s="1" t="s">
        <v>332</v>
      </c>
      <c r="C110" s="1" t="s">
        <v>392</v>
      </c>
      <c r="D110" s="1" t="s">
        <v>909</v>
      </c>
      <c r="E110" s="4" t="s">
        <v>910</v>
      </c>
    </row>
    <row r="112" spans="1:2" ht="13.5">
      <c r="A112" s="28"/>
      <c r="B112" s="29" t="s">
        <v>347</v>
      </c>
    </row>
    <row r="113" spans="1:5" ht="13.5">
      <c r="A113" s="30" t="s">
        <v>333</v>
      </c>
      <c r="B113" s="30" t="s">
        <v>334</v>
      </c>
      <c r="C113" s="30" t="s">
        <v>335</v>
      </c>
      <c r="D113" s="30" t="s">
        <v>336</v>
      </c>
      <c r="E113" s="30" t="s">
        <v>337</v>
      </c>
    </row>
    <row r="114" spans="1:5" ht="12.75">
      <c r="A114" s="27" t="s">
        <v>801</v>
      </c>
      <c r="B114" s="1" t="s">
        <v>399</v>
      </c>
      <c r="C114" s="1" t="s">
        <v>363</v>
      </c>
      <c r="D114" s="1" t="s">
        <v>889</v>
      </c>
      <c r="E114" s="4" t="s">
        <v>911</v>
      </c>
    </row>
    <row r="115" spans="1:5" ht="12.75">
      <c r="A115" s="27" t="s">
        <v>783</v>
      </c>
      <c r="B115" s="1" t="s">
        <v>406</v>
      </c>
      <c r="C115" s="1" t="s">
        <v>368</v>
      </c>
      <c r="D115" s="1" t="s">
        <v>912</v>
      </c>
      <c r="E115" s="4" t="s">
        <v>913</v>
      </c>
    </row>
    <row r="116" spans="1:5" ht="12.75">
      <c r="A116" s="27" t="s">
        <v>845</v>
      </c>
      <c r="B116" s="1" t="s">
        <v>350</v>
      </c>
      <c r="C116" s="1" t="s">
        <v>379</v>
      </c>
      <c r="D116" s="1" t="s">
        <v>914</v>
      </c>
      <c r="E116" s="4" t="s">
        <v>915</v>
      </c>
    </row>
    <row r="117" spans="1:5" ht="12.75">
      <c r="A117" s="27" t="s">
        <v>841</v>
      </c>
      <c r="B117" s="1" t="s">
        <v>401</v>
      </c>
      <c r="C117" s="1" t="s">
        <v>379</v>
      </c>
      <c r="D117" s="1" t="s">
        <v>916</v>
      </c>
      <c r="E117" s="4" t="s">
        <v>917</v>
      </c>
    </row>
    <row r="118" spans="1:5" ht="12.75">
      <c r="A118" s="27" t="s">
        <v>790</v>
      </c>
      <c r="B118" s="1" t="s">
        <v>399</v>
      </c>
      <c r="C118" s="1" t="s">
        <v>370</v>
      </c>
      <c r="D118" s="1" t="s">
        <v>918</v>
      </c>
      <c r="E118" s="4" t="s">
        <v>919</v>
      </c>
    </row>
    <row r="119" spans="1:5" ht="12.75">
      <c r="A119" s="27" t="s">
        <v>747</v>
      </c>
      <c r="B119" s="1" t="s">
        <v>350</v>
      </c>
      <c r="C119" s="1" t="s">
        <v>355</v>
      </c>
      <c r="D119" s="1" t="s">
        <v>920</v>
      </c>
      <c r="E119" s="4" t="s">
        <v>921</v>
      </c>
    </row>
    <row r="120" spans="1:5" ht="12.75">
      <c r="A120" s="27" t="s">
        <v>549</v>
      </c>
      <c r="B120" s="1" t="s">
        <v>350</v>
      </c>
      <c r="C120" s="1" t="s">
        <v>370</v>
      </c>
      <c r="D120" s="1" t="s">
        <v>922</v>
      </c>
      <c r="E120" s="4" t="s">
        <v>923</v>
      </c>
    </row>
  </sheetData>
  <sheetProtection/>
  <mergeCells count="24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  <mergeCell ref="A11:T11"/>
    <mergeCell ref="A47:T47"/>
    <mergeCell ref="A56:T56"/>
    <mergeCell ref="A15:T15"/>
    <mergeCell ref="A18:T18"/>
    <mergeCell ref="A21:T21"/>
    <mergeCell ref="A27:T27"/>
    <mergeCell ref="A34:T34"/>
    <mergeCell ref="A39:T39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 topLeftCell="A1">
      <selection activeCell="A1" sqref="A1:M2"/>
    </sheetView>
  </sheetViews>
  <sheetFormatPr defaultColWidth="9.125" defaultRowHeight="12.75"/>
  <cols>
    <col min="1" max="1" width="28.25390625" style="4" bestFit="1" customWidth="1"/>
    <col min="2" max="2" width="26.875" style="1" bestFit="1" customWidth="1"/>
    <col min="3" max="3" width="10.625" style="1" bestFit="1" customWidth="1"/>
    <col min="4" max="4" width="9.25390625" style="1" bestFit="1" customWidth="1"/>
    <col min="5" max="5" width="22.75390625" style="5" bestFit="1" customWidth="1"/>
    <col min="6" max="6" width="19.00390625" style="5" bestFit="1" customWidth="1"/>
    <col min="7" max="9" width="5.625" style="1" bestFit="1" customWidth="1"/>
    <col min="10" max="10" width="4.625" style="1" bestFit="1" customWidth="1"/>
    <col min="11" max="11" width="7.875" style="4" bestFit="1" customWidth="1"/>
    <col min="12" max="12" width="7.625" style="1" bestFit="1" customWidth="1"/>
    <col min="13" max="13" width="8.875" style="5" bestFit="1" customWidth="1"/>
    <col min="14" max="16384" width="9.125" style="1" customWidth="1"/>
  </cols>
  <sheetData>
    <row r="1" spans="1:13" ht="15" customHeight="1">
      <c r="A1" s="39" t="s">
        <v>924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66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2" customFormat="1" ht="12.75" customHeight="1">
      <c r="A3" s="45" t="s">
        <v>0</v>
      </c>
      <c r="B3" s="47" t="s">
        <v>9</v>
      </c>
      <c r="C3" s="37" t="s">
        <v>3</v>
      </c>
      <c r="D3" s="37" t="s">
        <v>11</v>
      </c>
      <c r="E3" s="37" t="s">
        <v>6</v>
      </c>
      <c r="F3" s="37" t="s">
        <v>8</v>
      </c>
      <c r="G3" s="37" t="s">
        <v>418</v>
      </c>
      <c r="H3" s="37"/>
      <c r="I3" s="37"/>
      <c r="J3" s="37"/>
      <c r="K3" s="37" t="s">
        <v>2</v>
      </c>
      <c r="L3" s="37" t="s">
        <v>5</v>
      </c>
      <c r="M3" s="48" t="s">
        <v>4</v>
      </c>
    </row>
    <row r="4" spans="1:13" s="2" customFormat="1" ht="21" customHeight="1" thickBot="1">
      <c r="A4" s="46"/>
      <c r="B4" s="38"/>
      <c r="C4" s="38"/>
      <c r="D4" s="38"/>
      <c r="E4" s="38"/>
      <c r="F4" s="38"/>
      <c r="G4" s="3">
        <v>1</v>
      </c>
      <c r="H4" s="3">
        <v>2</v>
      </c>
      <c r="I4" s="3">
        <v>3</v>
      </c>
      <c r="J4" s="3" t="s">
        <v>7</v>
      </c>
      <c r="K4" s="38"/>
      <c r="L4" s="38"/>
      <c r="M4" s="49"/>
    </row>
    <row r="5" spans="1:12" ht="15.75">
      <c r="A5" s="35" t="s">
        <v>214</v>
      </c>
      <c r="B5" s="36"/>
      <c r="C5" s="36"/>
      <c r="D5" s="36"/>
      <c r="E5" s="36"/>
      <c r="F5" s="36"/>
      <c r="G5" s="36"/>
      <c r="H5" s="36"/>
      <c r="I5" s="36"/>
      <c r="J5" s="36"/>
      <c r="K5" s="35"/>
      <c r="L5" s="36"/>
    </row>
    <row r="6" spans="1:13" ht="12.75">
      <c r="A6" s="6" t="s">
        <v>549</v>
      </c>
      <c r="B6" s="7" t="s">
        <v>550</v>
      </c>
      <c r="C6" s="7" t="s">
        <v>434</v>
      </c>
      <c r="D6" s="7" t="str">
        <f>"0,5873"</f>
        <v>0,5873</v>
      </c>
      <c r="E6" s="8" t="s">
        <v>26</v>
      </c>
      <c r="F6" s="8" t="s">
        <v>90</v>
      </c>
      <c r="G6" s="7" t="s">
        <v>143</v>
      </c>
      <c r="H6" s="7" t="s">
        <v>136</v>
      </c>
      <c r="I6" s="9" t="s">
        <v>92</v>
      </c>
      <c r="J6" s="9"/>
      <c r="K6" s="6" t="s">
        <v>137</v>
      </c>
      <c r="L6" s="7" t="str">
        <f>"82,7564"</f>
        <v>82,7564</v>
      </c>
      <c r="M6" s="8" t="s">
        <v>21</v>
      </c>
    </row>
    <row r="8" ht="15.75">
      <c r="E8" s="23" t="s">
        <v>325</v>
      </c>
    </row>
    <row r="9" ht="15.75">
      <c r="E9" s="23" t="s">
        <v>326</v>
      </c>
    </row>
    <row r="10" ht="15.75">
      <c r="E10" s="23" t="s">
        <v>327</v>
      </c>
    </row>
    <row r="11" ht="15.75">
      <c r="E11" s="23" t="s">
        <v>328</v>
      </c>
    </row>
    <row r="12" ht="15.75">
      <c r="E12" s="23" t="s">
        <v>328</v>
      </c>
    </row>
    <row r="13" ht="15.75">
      <c r="E13" s="23" t="s">
        <v>329</v>
      </c>
    </row>
    <row r="14" ht="15.75">
      <c r="E14" s="23"/>
    </row>
    <row r="16" spans="1:2" ht="18">
      <c r="A16" s="24" t="s">
        <v>330</v>
      </c>
      <c r="B16" s="25"/>
    </row>
    <row r="17" spans="1:2" ht="15.75">
      <c r="A17" s="26" t="s">
        <v>352</v>
      </c>
      <c r="B17" s="10"/>
    </row>
    <row r="18" spans="1:2" ht="13.5">
      <c r="A18" s="28"/>
      <c r="B18" s="29" t="s">
        <v>347</v>
      </c>
    </row>
    <row r="19" spans="1:5" ht="13.5">
      <c r="A19" s="30" t="s">
        <v>333</v>
      </c>
      <c r="B19" s="30" t="s">
        <v>334</v>
      </c>
      <c r="C19" s="30" t="s">
        <v>335</v>
      </c>
      <c r="D19" s="30" t="s">
        <v>336</v>
      </c>
      <c r="E19" s="30" t="s">
        <v>337</v>
      </c>
    </row>
    <row r="20" spans="1:5" ht="12.75">
      <c r="A20" s="27" t="s">
        <v>549</v>
      </c>
      <c r="B20" s="1" t="s">
        <v>350</v>
      </c>
      <c r="C20" s="1" t="s">
        <v>370</v>
      </c>
      <c r="D20" s="1" t="s">
        <v>136</v>
      </c>
      <c r="E20" s="4" t="s">
        <v>925</v>
      </c>
    </row>
  </sheetData>
  <sheetProtection/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workbookViewId="0" topLeftCell="A20">
      <selection activeCell="A24" sqref="A24"/>
    </sheetView>
  </sheetViews>
  <sheetFormatPr defaultColWidth="9.125" defaultRowHeight="12.75"/>
  <cols>
    <col min="1" max="1" width="28.25390625" style="4" bestFit="1" customWidth="1"/>
    <col min="2" max="2" width="26.875" style="1" bestFit="1" customWidth="1"/>
    <col min="3" max="3" width="10.625" style="1" bestFit="1" customWidth="1"/>
    <col min="4" max="4" width="9.25390625" style="1" bestFit="1" customWidth="1"/>
    <col min="5" max="5" width="22.75390625" style="5" bestFit="1" customWidth="1"/>
    <col min="6" max="6" width="38.25390625" style="5" bestFit="1" customWidth="1"/>
    <col min="7" max="9" width="5.625" style="1" bestFit="1" customWidth="1"/>
    <col min="10" max="10" width="4.625" style="1" bestFit="1" customWidth="1"/>
    <col min="11" max="11" width="7.875" style="4" bestFit="1" customWidth="1"/>
    <col min="12" max="12" width="8.625" style="1" bestFit="1" customWidth="1"/>
    <col min="13" max="13" width="8.875" style="5" bestFit="1" customWidth="1"/>
    <col min="14" max="16384" width="9.125" style="1" customWidth="1"/>
  </cols>
  <sheetData>
    <row r="1" spans="1:13" ht="15" customHeight="1">
      <c r="A1" s="39" t="s">
        <v>926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66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2" customFormat="1" ht="12.75" customHeight="1">
      <c r="A3" s="45" t="s">
        <v>0</v>
      </c>
      <c r="B3" s="47" t="s">
        <v>9</v>
      </c>
      <c r="C3" s="37" t="s">
        <v>3</v>
      </c>
      <c r="D3" s="37" t="s">
        <v>11</v>
      </c>
      <c r="E3" s="37" t="s">
        <v>6</v>
      </c>
      <c r="F3" s="37" t="s">
        <v>8</v>
      </c>
      <c r="G3" s="37" t="s">
        <v>419</v>
      </c>
      <c r="H3" s="37"/>
      <c r="I3" s="37"/>
      <c r="J3" s="37"/>
      <c r="K3" s="37" t="s">
        <v>2</v>
      </c>
      <c r="L3" s="37" t="s">
        <v>5</v>
      </c>
      <c r="M3" s="48" t="s">
        <v>4</v>
      </c>
    </row>
    <row r="4" spans="1:13" s="2" customFormat="1" ht="21" customHeight="1" thickBot="1">
      <c r="A4" s="46"/>
      <c r="B4" s="38"/>
      <c r="C4" s="38"/>
      <c r="D4" s="38"/>
      <c r="E4" s="38"/>
      <c r="F4" s="38"/>
      <c r="G4" s="3">
        <v>1</v>
      </c>
      <c r="H4" s="3">
        <v>2</v>
      </c>
      <c r="I4" s="3">
        <v>3</v>
      </c>
      <c r="J4" s="3" t="s">
        <v>7</v>
      </c>
      <c r="K4" s="38"/>
      <c r="L4" s="38"/>
      <c r="M4" s="49"/>
    </row>
    <row r="5" spans="1:12" ht="15.75">
      <c r="A5" s="35" t="s">
        <v>38</v>
      </c>
      <c r="B5" s="36"/>
      <c r="C5" s="36"/>
      <c r="D5" s="36"/>
      <c r="E5" s="36"/>
      <c r="F5" s="36"/>
      <c r="G5" s="36"/>
      <c r="H5" s="36"/>
      <c r="I5" s="36"/>
      <c r="J5" s="36"/>
      <c r="K5" s="35"/>
      <c r="L5" s="36"/>
    </row>
    <row r="6" spans="1:13" ht="12.75">
      <c r="A6" s="6" t="s">
        <v>927</v>
      </c>
      <c r="B6" s="7" t="s">
        <v>928</v>
      </c>
      <c r="C6" s="7" t="s">
        <v>929</v>
      </c>
      <c r="D6" s="7" t="str">
        <f>"0,9242"</f>
        <v>0,9242</v>
      </c>
      <c r="E6" s="8" t="s">
        <v>26</v>
      </c>
      <c r="F6" s="8" t="s">
        <v>90</v>
      </c>
      <c r="G6" s="7" t="s">
        <v>91</v>
      </c>
      <c r="H6" s="7" t="s">
        <v>218</v>
      </c>
      <c r="I6" s="7" t="s">
        <v>192</v>
      </c>
      <c r="J6" s="9"/>
      <c r="K6" s="6" t="s">
        <v>193</v>
      </c>
      <c r="L6" s="7" t="str">
        <f>"120,1460"</f>
        <v>120,1460</v>
      </c>
      <c r="M6" s="8" t="s">
        <v>21</v>
      </c>
    </row>
    <row r="8" spans="1:12" ht="15.75">
      <c r="A8" s="33" t="s">
        <v>56</v>
      </c>
      <c r="B8" s="34"/>
      <c r="C8" s="34"/>
      <c r="D8" s="34"/>
      <c r="E8" s="34"/>
      <c r="F8" s="34"/>
      <c r="G8" s="34"/>
      <c r="H8" s="34"/>
      <c r="I8" s="34"/>
      <c r="J8" s="34"/>
      <c r="K8" s="33"/>
      <c r="L8" s="34"/>
    </row>
    <row r="9" spans="1:13" ht="12.75">
      <c r="A9" s="6" t="s">
        <v>930</v>
      </c>
      <c r="B9" s="7" t="s">
        <v>931</v>
      </c>
      <c r="C9" s="7" t="s">
        <v>932</v>
      </c>
      <c r="D9" s="7" t="str">
        <f>"0,8857"</f>
        <v>0,8857</v>
      </c>
      <c r="E9" s="8" t="s">
        <v>26</v>
      </c>
      <c r="F9" s="8" t="s">
        <v>90</v>
      </c>
      <c r="G9" s="7" t="s">
        <v>136</v>
      </c>
      <c r="H9" s="7" t="s">
        <v>92</v>
      </c>
      <c r="I9" s="9" t="s">
        <v>218</v>
      </c>
      <c r="J9" s="9"/>
      <c r="K9" s="6" t="s">
        <v>279</v>
      </c>
      <c r="L9" s="7" t="str">
        <f>"106,2840"</f>
        <v>106,2840</v>
      </c>
      <c r="M9" s="8" t="s">
        <v>21</v>
      </c>
    </row>
    <row r="11" spans="1:12" ht="15.75">
      <c r="A11" s="33" t="s">
        <v>129</v>
      </c>
      <c r="B11" s="34"/>
      <c r="C11" s="34"/>
      <c r="D11" s="34"/>
      <c r="E11" s="34"/>
      <c r="F11" s="34"/>
      <c r="G11" s="34"/>
      <c r="H11" s="34"/>
      <c r="I11" s="34"/>
      <c r="J11" s="34"/>
      <c r="K11" s="33"/>
      <c r="L11" s="34"/>
    </row>
    <row r="12" spans="1:13" ht="12.75">
      <c r="A12" s="6" t="s">
        <v>933</v>
      </c>
      <c r="B12" s="7" t="s">
        <v>934</v>
      </c>
      <c r="C12" s="7" t="s">
        <v>935</v>
      </c>
      <c r="D12" s="7" t="str">
        <f>"0,7441"</f>
        <v>0,7441</v>
      </c>
      <c r="E12" s="8" t="s">
        <v>936</v>
      </c>
      <c r="F12" s="8" t="s">
        <v>937</v>
      </c>
      <c r="G12" s="7" t="s">
        <v>163</v>
      </c>
      <c r="H12" s="9" t="s">
        <v>427</v>
      </c>
      <c r="I12" s="9" t="s">
        <v>427</v>
      </c>
      <c r="J12" s="9"/>
      <c r="K12" s="6" t="s">
        <v>164</v>
      </c>
      <c r="L12" s="7" t="str">
        <f>"133,9470"</f>
        <v>133,9470</v>
      </c>
      <c r="M12" s="8" t="s">
        <v>21</v>
      </c>
    </row>
    <row r="14" spans="1:12" ht="15.75">
      <c r="A14" s="33" t="s">
        <v>150</v>
      </c>
      <c r="B14" s="34"/>
      <c r="C14" s="34"/>
      <c r="D14" s="34"/>
      <c r="E14" s="34"/>
      <c r="F14" s="34"/>
      <c r="G14" s="34"/>
      <c r="H14" s="34"/>
      <c r="I14" s="34"/>
      <c r="J14" s="34"/>
      <c r="K14" s="33"/>
      <c r="L14" s="34"/>
    </row>
    <row r="15" spans="1:13" ht="12.75">
      <c r="A15" s="6" t="s">
        <v>938</v>
      </c>
      <c r="B15" s="7" t="s">
        <v>939</v>
      </c>
      <c r="C15" s="7" t="s">
        <v>940</v>
      </c>
      <c r="D15" s="7" t="str">
        <f>"0,6832"</f>
        <v>0,6832</v>
      </c>
      <c r="E15" s="8" t="s">
        <v>26</v>
      </c>
      <c r="F15" s="8" t="s">
        <v>90</v>
      </c>
      <c r="G15" s="7" t="s">
        <v>161</v>
      </c>
      <c r="H15" s="7" t="s">
        <v>427</v>
      </c>
      <c r="I15" s="9" t="s">
        <v>428</v>
      </c>
      <c r="J15" s="9"/>
      <c r="K15" s="6" t="s">
        <v>594</v>
      </c>
      <c r="L15" s="7" t="str">
        <f>"129,8080"</f>
        <v>129,8080</v>
      </c>
      <c r="M15" s="8" t="s">
        <v>21</v>
      </c>
    </row>
    <row r="17" spans="1:12" ht="15.75">
      <c r="A17" s="33" t="s">
        <v>103</v>
      </c>
      <c r="B17" s="34"/>
      <c r="C17" s="34"/>
      <c r="D17" s="34"/>
      <c r="E17" s="34"/>
      <c r="F17" s="34"/>
      <c r="G17" s="34"/>
      <c r="H17" s="34"/>
      <c r="I17" s="34"/>
      <c r="J17" s="34"/>
      <c r="K17" s="33"/>
      <c r="L17" s="34"/>
    </row>
    <row r="18" spans="1:13" ht="12.75">
      <c r="A18" s="6" t="s">
        <v>122</v>
      </c>
      <c r="B18" s="7" t="s">
        <v>123</v>
      </c>
      <c r="C18" s="7" t="s">
        <v>941</v>
      </c>
      <c r="D18" s="7" t="str">
        <f>"0,7377"</f>
        <v>0,7377</v>
      </c>
      <c r="E18" s="8" t="s">
        <v>125</v>
      </c>
      <c r="F18" s="8" t="s">
        <v>126</v>
      </c>
      <c r="G18" s="7" t="s">
        <v>187</v>
      </c>
      <c r="H18" s="9" t="s">
        <v>285</v>
      </c>
      <c r="I18" s="9" t="s">
        <v>82</v>
      </c>
      <c r="J18" s="9"/>
      <c r="K18" s="6" t="s">
        <v>556</v>
      </c>
      <c r="L18" s="7" t="str">
        <f>"231,0476"</f>
        <v>231,0476</v>
      </c>
      <c r="M18" s="8" t="s">
        <v>21</v>
      </c>
    </row>
    <row r="20" spans="1:12" ht="15.75">
      <c r="A20" s="33" t="s">
        <v>129</v>
      </c>
      <c r="B20" s="34"/>
      <c r="C20" s="34"/>
      <c r="D20" s="34"/>
      <c r="E20" s="34"/>
      <c r="F20" s="34"/>
      <c r="G20" s="34"/>
      <c r="H20" s="34"/>
      <c r="I20" s="34"/>
      <c r="J20" s="34"/>
      <c r="K20" s="33"/>
      <c r="L20" s="34"/>
    </row>
    <row r="21" spans="1:13" ht="12.75">
      <c r="A21" s="6" t="s">
        <v>942</v>
      </c>
      <c r="B21" s="7" t="s">
        <v>943</v>
      </c>
      <c r="C21" s="7" t="s">
        <v>944</v>
      </c>
      <c r="D21" s="7" t="str">
        <f>"0,6645"</f>
        <v>0,6645</v>
      </c>
      <c r="E21" s="8" t="s">
        <v>750</v>
      </c>
      <c r="F21" s="8" t="s">
        <v>751</v>
      </c>
      <c r="G21" s="7" t="s">
        <v>428</v>
      </c>
      <c r="H21" s="7" t="s">
        <v>450</v>
      </c>
      <c r="I21" s="7" t="s">
        <v>686</v>
      </c>
      <c r="J21" s="9"/>
      <c r="K21" s="6" t="s">
        <v>945</v>
      </c>
      <c r="L21" s="7" t="str">
        <f>"221,2785"</f>
        <v>221,2785</v>
      </c>
      <c r="M21" s="8" t="s">
        <v>21</v>
      </c>
    </row>
    <row r="23" spans="1:12" ht="15.75">
      <c r="A23" s="33" t="s">
        <v>214</v>
      </c>
      <c r="B23" s="34"/>
      <c r="C23" s="34"/>
      <c r="D23" s="34"/>
      <c r="E23" s="34"/>
      <c r="F23" s="34"/>
      <c r="G23" s="34"/>
      <c r="H23" s="34"/>
      <c r="I23" s="34"/>
      <c r="J23" s="34"/>
      <c r="K23" s="33"/>
      <c r="L23" s="34"/>
    </row>
    <row r="24" spans="1:13" ht="12.75">
      <c r="A24" s="6" t="s">
        <v>549</v>
      </c>
      <c r="B24" s="7" t="s">
        <v>550</v>
      </c>
      <c r="C24" s="7" t="s">
        <v>434</v>
      </c>
      <c r="D24" s="7" t="str">
        <f>"0,5873"</f>
        <v>0,5873</v>
      </c>
      <c r="E24" s="8" t="s">
        <v>26</v>
      </c>
      <c r="F24" s="8" t="s">
        <v>90</v>
      </c>
      <c r="G24" s="9" t="s">
        <v>187</v>
      </c>
      <c r="H24" s="7" t="s">
        <v>187</v>
      </c>
      <c r="I24" s="9" t="s">
        <v>181</v>
      </c>
      <c r="J24" s="9"/>
      <c r="K24" s="6" t="s">
        <v>556</v>
      </c>
      <c r="L24" s="7" t="str">
        <f>"112,8497"</f>
        <v>112,8497</v>
      </c>
      <c r="M24" s="8" t="s">
        <v>21</v>
      </c>
    </row>
    <row r="26" spans="1:12" ht="15.75">
      <c r="A26" s="33" t="s">
        <v>259</v>
      </c>
      <c r="B26" s="34"/>
      <c r="C26" s="34"/>
      <c r="D26" s="34"/>
      <c r="E26" s="34"/>
      <c r="F26" s="34"/>
      <c r="G26" s="34"/>
      <c r="H26" s="34"/>
      <c r="I26" s="34"/>
      <c r="J26" s="34"/>
      <c r="K26" s="33"/>
      <c r="L26" s="34"/>
    </row>
    <row r="27" spans="1:13" ht="12.75">
      <c r="A27" s="6" t="s">
        <v>572</v>
      </c>
      <c r="B27" s="7" t="s">
        <v>573</v>
      </c>
      <c r="C27" s="7" t="s">
        <v>574</v>
      </c>
      <c r="D27" s="7" t="str">
        <f>"0,5624"</f>
        <v>0,5624</v>
      </c>
      <c r="E27" s="8" t="s">
        <v>26</v>
      </c>
      <c r="F27" s="8" t="s">
        <v>90</v>
      </c>
      <c r="G27" s="7" t="s">
        <v>428</v>
      </c>
      <c r="H27" s="7" t="s">
        <v>319</v>
      </c>
      <c r="I27" s="7" t="s">
        <v>560</v>
      </c>
      <c r="J27" s="9"/>
      <c r="K27" s="6" t="s">
        <v>946</v>
      </c>
      <c r="L27" s="7" t="str">
        <f>"123,0925"</f>
        <v>123,0925</v>
      </c>
      <c r="M27" s="8" t="s">
        <v>21</v>
      </c>
    </row>
    <row r="29" spans="1:12" ht="15.75">
      <c r="A29" s="33" t="s">
        <v>286</v>
      </c>
      <c r="B29" s="34"/>
      <c r="C29" s="34"/>
      <c r="D29" s="34"/>
      <c r="E29" s="34"/>
      <c r="F29" s="34"/>
      <c r="G29" s="34"/>
      <c r="H29" s="34"/>
      <c r="I29" s="34"/>
      <c r="J29" s="34"/>
      <c r="K29" s="33"/>
      <c r="L29" s="34"/>
    </row>
    <row r="30" spans="1:13" ht="12.75">
      <c r="A30" s="6" t="s">
        <v>589</v>
      </c>
      <c r="B30" s="7" t="s">
        <v>590</v>
      </c>
      <c r="C30" s="7" t="s">
        <v>947</v>
      </c>
      <c r="D30" s="7" t="str">
        <f>"0,5411"</f>
        <v>0,5411</v>
      </c>
      <c r="E30" s="8" t="s">
        <v>592</v>
      </c>
      <c r="F30" s="8" t="s">
        <v>593</v>
      </c>
      <c r="G30" s="9" t="s">
        <v>809</v>
      </c>
      <c r="H30" s="7" t="s">
        <v>809</v>
      </c>
      <c r="I30" s="9" t="s">
        <v>854</v>
      </c>
      <c r="J30" s="9"/>
      <c r="K30" s="6" t="s">
        <v>948</v>
      </c>
      <c r="L30" s="7" t="str">
        <f>"151,4940"</f>
        <v>151,4940</v>
      </c>
      <c r="M30" s="8" t="s">
        <v>21</v>
      </c>
    </row>
    <row r="32" spans="1:12" ht="15.75">
      <c r="A32" s="33" t="s">
        <v>300</v>
      </c>
      <c r="B32" s="34"/>
      <c r="C32" s="34"/>
      <c r="D32" s="34"/>
      <c r="E32" s="34"/>
      <c r="F32" s="34"/>
      <c r="G32" s="34"/>
      <c r="H32" s="34"/>
      <c r="I32" s="34"/>
      <c r="J32" s="34"/>
      <c r="K32" s="33"/>
      <c r="L32" s="34"/>
    </row>
    <row r="33" spans="1:13" ht="12.75">
      <c r="A33" s="11" t="s">
        <v>949</v>
      </c>
      <c r="B33" s="12" t="s">
        <v>950</v>
      </c>
      <c r="C33" s="12" t="s">
        <v>951</v>
      </c>
      <c r="D33" s="12" t="str">
        <f>"0,5315"</f>
        <v>0,5315</v>
      </c>
      <c r="E33" s="13" t="s">
        <v>804</v>
      </c>
      <c r="F33" s="13" t="s">
        <v>805</v>
      </c>
      <c r="G33" s="12" t="s">
        <v>442</v>
      </c>
      <c r="H33" s="14" t="s">
        <v>436</v>
      </c>
      <c r="I33" s="12" t="s">
        <v>436</v>
      </c>
      <c r="J33" s="14"/>
      <c r="K33" s="11" t="s">
        <v>952</v>
      </c>
      <c r="L33" s="12" t="str">
        <f>"138,2030"</f>
        <v>138,2030</v>
      </c>
      <c r="M33" s="13" t="s">
        <v>21</v>
      </c>
    </row>
    <row r="34" spans="1:13" ht="12.75">
      <c r="A34" s="19" t="s">
        <v>949</v>
      </c>
      <c r="B34" s="20" t="s">
        <v>953</v>
      </c>
      <c r="C34" s="20" t="s">
        <v>951</v>
      </c>
      <c r="D34" s="20" t="str">
        <f>"0,5315"</f>
        <v>0,5315</v>
      </c>
      <c r="E34" s="21" t="s">
        <v>804</v>
      </c>
      <c r="F34" s="21" t="s">
        <v>805</v>
      </c>
      <c r="G34" s="20" t="s">
        <v>442</v>
      </c>
      <c r="H34" s="22" t="s">
        <v>436</v>
      </c>
      <c r="I34" s="20" t="s">
        <v>436</v>
      </c>
      <c r="J34" s="22"/>
      <c r="K34" s="19" t="s">
        <v>952</v>
      </c>
      <c r="L34" s="20" t="str">
        <f>"132,8875"</f>
        <v>132,8875</v>
      </c>
      <c r="M34" s="21" t="s">
        <v>21</v>
      </c>
    </row>
    <row r="35" spans="1:13" ht="12.75">
      <c r="A35" s="15" t="s">
        <v>954</v>
      </c>
      <c r="B35" s="16" t="s">
        <v>955</v>
      </c>
      <c r="C35" s="16" t="s">
        <v>853</v>
      </c>
      <c r="D35" s="16" t="str">
        <f>"0,5240"</f>
        <v>0,5240</v>
      </c>
      <c r="E35" s="17" t="s">
        <v>26</v>
      </c>
      <c r="F35" s="17" t="s">
        <v>90</v>
      </c>
      <c r="G35" s="18" t="s">
        <v>181</v>
      </c>
      <c r="H35" s="16" t="s">
        <v>181</v>
      </c>
      <c r="I35" s="16" t="s">
        <v>427</v>
      </c>
      <c r="J35" s="18"/>
      <c r="K35" s="15" t="s">
        <v>594</v>
      </c>
      <c r="L35" s="16" t="str">
        <f>"163,7918"</f>
        <v>163,7918</v>
      </c>
      <c r="M35" s="17" t="s">
        <v>21</v>
      </c>
    </row>
    <row r="37" ht="15.75">
      <c r="E37" s="23" t="s">
        <v>325</v>
      </c>
    </row>
    <row r="38" ht="15.75">
      <c r="E38" s="23" t="s">
        <v>326</v>
      </c>
    </row>
    <row r="39" ht="15.75">
      <c r="E39" s="23" t="s">
        <v>327</v>
      </c>
    </row>
    <row r="40" ht="15.75">
      <c r="E40" s="23" t="s">
        <v>328</v>
      </c>
    </row>
    <row r="41" ht="15.75">
      <c r="E41" s="23" t="s">
        <v>328</v>
      </c>
    </row>
    <row r="42" ht="15.75">
      <c r="E42" s="23" t="s">
        <v>329</v>
      </c>
    </row>
    <row r="43" ht="15.75">
      <c r="E43" s="23"/>
    </row>
    <row r="45" spans="1:2" ht="18">
      <c r="A45" s="24" t="s">
        <v>330</v>
      </c>
      <c r="B45" s="25"/>
    </row>
    <row r="46" spans="1:2" ht="15.75">
      <c r="A46" s="26" t="s">
        <v>331</v>
      </c>
      <c r="B46" s="10"/>
    </row>
    <row r="47" spans="1:2" ht="13.5">
      <c r="A47" s="28"/>
      <c r="B47" s="29" t="s">
        <v>332</v>
      </c>
    </row>
    <row r="48" spans="1:5" ht="13.5">
      <c r="A48" s="30" t="s">
        <v>333</v>
      </c>
      <c r="B48" s="30" t="s">
        <v>334</v>
      </c>
      <c r="C48" s="30" t="s">
        <v>335</v>
      </c>
      <c r="D48" s="30" t="s">
        <v>336</v>
      </c>
      <c r="E48" s="30" t="s">
        <v>337</v>
      </c>
    </row>
    <row r="49" spans="1:5" ht="12.75">
      <c r="A49" s="27" t="s">
        <v>933</v>
      </c>
      <c r="B49" s="1" t="s">
        <v>332</v>
      </c>
      <c r="C49" s="1" t="s">
        <v>392</v>
      </c>
      <c r="D49" s="1" t="s">
        <v>163</v>
      </c>
      <c r="E49" s="4" t="s">
        <v>956</v>
      </c>
    </row>
    <row r="50" spans="1:5" ht="12.75">
      <c r="A50" s="27" t="s">
        <v>938</v>
      </c>
      <c r="B50" s="1" t="s">
        <v>332</v>
      </c>
      <c r="C50" s="1" t="s">
        <v>368</v>
      </c>
      <c r="D50" s="1" t="s">
        <v>427</v>
      </c>
      <c r="E50" s="4" t="s">
        <v>957</v>
      </c>
    </row>
    <row r="51" spans="1:5" ht="12.75">
      <c r="A51" s="27" t="s">
        <v>927</v>
      </c>
      <c r="B51" s="1" t="s">
        <v>332</v>
      </c>
      <c r="C51" s="1" t="s">
        <v>344</v>
      </c>
      <c r="D51" s="1" t="s">
        <v>192</v>
      </c>
      <c r="E51" s="4" t="s">
        <v>958</v>
      </c>
    </row>
    <row r="52" spans="1:5" ht="12.75">
      <c r="A52" s="27" t="s">
        <v>930</v>
      </c>
      <c r="B52" s="1" t="s">
        <v>332</v>
      </c>
      <c r="C52" s="1" t="s">
        <v>340</v>
      </c>
      <c r="D52" s="1" t="s">
        <v>92</v>
      </c>
      <c r="E52" s="4" t="s">
        <v>959</v>
      </c>
    </row>
    <row r="55" spans="1:2" ht="15.75">
      <c r="A55" s="26" t="s">
        <v>352</v>
      </c>
      <c r="B55" s="10"/>
    </row>
    <row r="56" spans="1:2" ht="13.5">
      <c r="A56" s="28"/>
      <c r="B56" s="29" t="s">
        <v>353</v>
      </c>
    </row>
    <row r="57" spans="1:5" ht="13.5">
      <c r="A57" s="30" t="s">
        <v>333</v>
      </c>
      <c r="B57" s="30" t="s">
        <v>334</v>
      </c>
      <c r="C57" s="30" t="s">
        <v>335</v>
      </c>
      <c r="D57" s="30" t="s">
        <v>336</v>
      </c>
      <c r="E57" s="30" t="s">
        <v>337</v>
      </c>
    </row>
    <row r="58" spans="1:5" ht="12.75">
      <c r="A58" s="27" t="s">
        <v>949</v>
      </c>
      <c r="B58" s="1" t="s">
        <v>632</v>
      </c>
      <c r="C58" s="1" t="s">
        <v>403</v>
      </c>
      <c r="D58" s="1" t="s">
        <v>436</v>
      </c>
      <c r="E58" s="4" t="s">
        <v>960</v>
      </c>
    </row>
    <row r="60" spans="1:2" ht="13.5">
      <c r="A60" s="28"/>
      <c r="B60" s="29" t="s">
        <v>332</v>
      </c>
    </row>
    <row r="61" spans="1:5" ht="13.5">
      <c r="A61" s="30" t="s">
        <v>333</v>
      </c>
      <c r="B61" s="30" t="s">
        <v>334</v>
      </c>
      <c r="C61" s="30" t="s">
        <v>335</v>
      </c>
      <c r="D61" s="30" t="s">
        <v>336</v>
      </c>
      <c r="E61" s="30" t="s">
        <v>337</v>
      </c>
    </row>
    <row r="62" spans="1:5" ht="12.75">
      <c r="A62" s="27" t="s">
        <v>589</v>
      </c>
      <c r="B62" s="1" t="s">
        <v>332</v>
      </c>
      <c r="C62" s="1" t="s">
        <v>379</v>
      </c>
      <c r="D62" s="1" t="s">
        <v>809</v>
      </c>
      <c r="E62" s="4" t="s">
        <v>961</v>
      </c>
    </row>
    <row r="63" spans="1:5" ht="12.75">
      <c r="A63" s="27" t="s">
        <v>949</v>
      </c>
      <c r="B63" s="1" t="s">
        <v>332</v>
      </c>
      <c r="C63" s="1" t="s">
        <v>403</v>
      </c>
      <c r="D63" s="1" t="s">
        <v>436</v>
      </c>
      <c r="E63" s="4" t="s">
        <v>962</v>
      </c>
    </row>
    <row r="65" spans="1:2" ht="13.5">
      <c r="A65" s="28"/>
      <c r="B65" s="29" t="s">
        <v>347</v>
      </c>
    </row>
    <row r="66" spans="1:5" ht="13.5">
      <c r="A66" s="30" t="s">
        <v>333</v>
      </c>
      <c r="B66" s="30" t="s">
        <v>334</v>
      </c>
      <c r="C66" s="30" t="s">
        <v>335</v>
      </c>
      <c r="D66" s="30" t="s">
        <v>336</v>
      </c>
      <c r="E66" s="30" t="s">
        <v>337</v>
      </c>
    </row>
    <row r="67" spans="1:5" ht="12.75">
      <c r="A67" s="27" t="s">
        <v>122</v>
      </c>
      <c r="B67" s="1" t="s">
        <v>408</v>
      </c>
      <c r="C67" s="1" t="s">
        <v>355</v>
      </c>
      <c r="D67" s="1" t="s">
        <v>187</v>
      </c>
      <c r="E67" s="4" t="s">
        <v>963</v>
      </c>
    </row>
    <row r="68" spans="1:5" ht="12.75">
      <c r="A68" s="27" t="s">
        <v>942</v>
      </c>
      <c r="B68" s="1" t="s">
        <v>399</v>
      </c>
      <c r="C68" s="1" t="s">
        <v>392</v>
      </c>
      <c r="D68" s="1" t="s">
        <v>686</v>
      </c>
      <c r="E68" s="4" t="s">
        <v>964</v>
      </c>
    </row>
    <row r="69" spans="1:5" ht="12.75">
      <c r="A69" s="27" t="s">
        <v>954</v>
      </c>
      <c r="B69" s="1" t="s">
        <v>406</v>
      </c>
      <c r="C69" s="1" t="s">
        <v>403</v>
      </c>
      <c r="D69" s="1" t="s">
        <v>427</v>
      </c>
      <c r="E69" s="4" t="s">
        <v>965</v>
      </c>
    </row>
    <row r="70" spans="1:5" ht="12.75">
      <c r="A70" s="27" t="s">
        <v>572</v>
      </c>
      <c r="B70" s="1" t="s">
        <v>348</v>
      </c>
      <c r="C70" s="1" t="s">
        <v>363</v>
      </c>
      <c r="D70" s="1" t="s">
        <v>560</v>
      </c>
      <c r="E70" s="4" t="s">
        <v>966</v>
      </c>
    </row>
    <row r="71" spans="1:5" ht="12.75">
      <c r="A71" s="27" t="s">
        <v>549</v>
      </c>
      <c r="B71" s="1" t="s">
        <v>350</v>
      </c>
      <c r="C71" s="1" t="s">
        <v>370</v>
      </c>
      <c r="D71" s="1" t="s">
        <v>187</v>
      </c>
      <c r="E71" s="4" t="s">
        <v>967</v>
      </c>
    </row>
  </sheetData>
  <sheetProtection/>
  <mergeCells count="21">
    <mergeCell ref="A1:M2"/>
    <mergeCell ref="A3:A4"/>
    <mergeCell ref="B3:B4"/>
    <mergeCell ref="C3:C4"/>
    <mergeCell ref="D3:D4"/>
    <mergeCell ref="E3:E4"/>
    <mergeCell ref="F3:F4"/>
    <mergeCell ref="G3:J3"/>
    <mergeCell ref="A20:L20"/>
    <mergeCell ref="A23:L23"/>
    <mergeCell ref="A26:L26"/>
    <mergeCell ref="A29:L29"/>
    <mergeCell ref="A32:L32"/>
    <mergeCell ref="L3:L4"/>
    <mergeCell ref="A17:L17"/>
    <mergeCell ref="M3:M4"/>
    <mergeCell ref="A5:L5"/>
    <mergeCell ref="A8:L8"/>
    <mergeCell ref="A11:L11"/>
    <mergeCell ref="A14:L14"/>
    <mergeCell ref="K3:K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workbookViewId="0" topLeftCell="A19">
      <selection activeCell="A23" sqref="A23"/>
    </sheetView>
  </sheetViews>
  <sheetFormatPr defaultColWidth="9.125" defaultRowHeight="12.75"/>
  <cols>
    <col min="1" max="1" width="28.25390625" style="4" bestFit="1" customWidth="1"/>
    <col min="2" max="2" width="26.875" style="1" bestFit="1" customWidth="1"/>
    <col min="3" max="3" width="10.625" style="1" bestFit="1" customWidth="1"/>
    <col min="4" max="4" width="9.25390625" style="1" bestFit="1" customWidth="1"/>
    <col min="5" max="5" width="22.75390625" style="5" bestFit="1" customWidth="1"/>
    <col min="6" max="6" width="32.625" style="5" bestFit="1" customWidth="1"/>
    <col min="7" max="9" width="5.625" style="1" bestFit="1" customWidth="1"/>
    <col min="10" max="10" width="4.625" style="1" bestFit="1" customWidth="1"/>
    <col min="11" max="13" width="5.625" style="1" bestFit="1" customWidth="1"/>
    <col min="14" max="14" width="4.625" style="1" bestFit="1" customWidth="1"/>
    <col min="15" max="18" width="5.625" style="1" bestFit="1" customWidth="1"/>
    <col min="19" max="19" width="7.875" style="4" bestFit="1" customWidth="1"/>
    <col min="20" max="20" width="8.625" style="1" bestFit="1" customWidth="1"/>
    <col min="21" max="21" width="8.875" style="5" bestFit="1" customWidth="1"/>
    <col min="22" max="16384" width="9.125" style="1" customWidth="1"/>
  </cols>
  <sheetData>
    <row r="1" spans="1:21" ht="15" customHeight="1">
      <c r="A1" s="39" t="s">
        <v>968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ht="66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2" customFormat="1" ht="12.75" customHeight="1">
      <c r="A3" s="45" t="s">
        <v>0</v>
      </c>
      <c r="B3" s="47" t="s">
        <v>9</v>
      </c>
      <c r="C3" s="37" t="s">
        <v>3</v>
      </c>
      <c r="D3" s="37" t="s">
        <v>11</v>
      </c>
      <c r="E3" s="37" t="s">
        <v>6</v>
      </c>
      <c r="F3" s="37" t="s">
        <v>8</v>
      </c>
      <c r="G3" s="37" t="s">
        <v>418</v>
      </c>
      <c r="H3" s="37"/>
      <c r="I3" s="37"/>
      <c r="J3" s="37"/>
      <c r="K3" s="37" t="s">
        <v>1</v>
      </c>
      <c r="L3" s="37"/>
      <c r="M3" s="37"/>
      <c r="N3" s="37"/>
      <c r="O3" s="37" t="s">
        <v>419</v>
      </c>
      <c r="P3" s="37"/>
      <c r="Q3" s="37"/>
      <c r="R3" s="37"/>
      <c r="S3" s="37" t="s">
        <v>2</v>
      </c>
      <c r="T3" s="37" t="s">
        <v>5</v>
      </c>
      <c r="U3" s="48" t="s">
        <v>4</v>
      </c>
    </row>
    <row r="4" spans="1:21" s="2" customFormat="1" ht="21" customHeight="1" thickBot="1">
      <c r="A4" s="46"/>
      <c r="B4" s="38"/>
      <c r="C4" s="38"/>
      <c r="D4" s="38"/>
      <c r="E4" s="38"/>
      <c r="F4" s="38"/>
      <c r="G4" s="3">
        <v>1</v>
      </c>
      <c r="H4" s="3">
        <v>2</v>
      </c>
      <c r="I4" s="3">
        <v>3</v>
      </c>
      <c r="J4" s="3" t="s">
        <v>7</v>
      </c>
      <c r="K4" s="3">
        <v>1</v>
      </c>
      <c r="L4" s="3">
        <v>2</v>
      </c>
      <c r="M4" s="3">
        <v>3</v>
      </c>
      <c r="N4" s="3" t="s">
        <v>7</v>
      </c>
      <c r="O4" s="3">
        <v>1</v>
      </c>
      <c r="P4" s="3">
        <v>2</v>
      </c>
      <c r="Q4" s="3">
        <v>3</v>
      </c>
      <c r="R4" s="3" t="s">
        <v>7</v>
      </c>
      <c r="S4" s="38"/>
      <c r="T4" s="38"/>
      <c r="U4" s="49"/>
    </row>
    <row r="5" spans="1:20" ht="15.75">
      <c r="A5" s="35" t="s">
        <v>129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5"/>
      <c r="T5" s="36"/>
    </row>
    <row r="6" spans="1:21" ht="12.75">
      <c r="A6" s="11" t="s">
        <v>969</v>
      </c>
      <c r="B6" s="12" t="s">
        <v>970</v>
      </c>
      <c r="C6" s="12" t="s">
        <v>944</v>
      </c>
      <c r="D6" s="12" t="str">
        <f>"0,6645"</f>
        <v>0,6645</v>
      </c>
      <c r="E6" s="13" t="s">
        <v>26</v>
      </c>
      <c r="F6" s="13" t="s">
        <v>90</v>
      </c>
      <c r="G6" s="12" t="s">
        <v>868</v>
      </c>
      <c r="H6" s="12" t="s">
        <v>971</v>
      </c>
      <c r="I6" s="14" t="s">
        <v>972</v>
      </c>
      <c r="J6" s="14"/>
      <c r="K6" s="12" t="s">
        <v>163</v>
      </c>
      <c r="L6" s="12" t="s">
        <v>427</v>
      </c>
      <c r="M6" s="14" t="s">
        <v>290</v>
      </c>
      <c r="N6" s="14"/>
      <c r="O6" s="14" t="s">
        <v>436</v>
      </c>
      <c r="P6" s="12" t="s">
        <v>436</v>
      </c>
      <c r="Q6" s="12" t="s">
        <v>973</v>
      </c>
      <c r="R6" s="14" t="s">
        <v>974</v>
      </c>
      <c r="S6" s="11" t="s">
        <v>863</v>
      </c>
      <c r="T6" s="12" t="str">
        <f>"513,4259"</f>
        <v>513,4259</v>
      </c>
      <c r="U6" s="13" t="s">
        <v>21</v>
      </c>
    </row>
    <row r="7" spans="1:21" ht="12.75">
      <c r="A7" s="15" t="s">
        <v>504</v>
      </c>
      <c r="B7" s="16" t="s">
        <v>505</v>
      </c>
      <c r="C7" s="16" t="s">
        <v>506</v>
      </c>
      <c r="D7" s="16" t="str">
        <f>"0,7160"</f>
        <v>0,7160</v>
      </c>
      <c r="E7" s="17" t="s">
        <v>507</v>
      </c>
      <c r="F7" s="17" t="s">
        <v>507</v>
      </c>
      <c r="G7" s="16" t="s">
        <v>219</v>
      </c>
      <c r="H7" s="16" t="s">
        <v>186</v>
      </c>
      <c r="I7" s="16" t="s">
        <v>187</v>
      </c>
      <c r="J7" s="18"/>
      <c r="K7" s="16" t="s">
        <v>115</v>
      </c>
      <c r="L7" s="16" t="s">
        <v>143</v>
      </c>
      <c r="M7" s="18" t="s">
        <v>204</v>
      </c>
      <c r="N7" s="18"/>
      <c r="O7" s="16" t="s">
        <v>181</v>
      </c>
      <c r="P7" s="16" t="s">
        <v>161</v>
      </c>
      <c r="Q7" s="18" t="s">
        <v>163</v>
      </c>
      <c r="R7" s="18"/>
      <c r="S7" s="15" t="s">
        <v>768</v>
      </c>
      <c r="T7" s="16" t="str">
        <f>"620,0413"</f>
        <v>620,0413</v>
      </c>
      <c r="U7" s="17" t="s">
        <v>21</v>
      </c>
    </row>
    <row r="9" spans="1:20" ht="15.75">
      <c r="A9" s="33" t="s">
        <v>214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3"/>
      <c r="T9" s="34"/>
    </row>
    <row r="10" spans="1:21" ht="12.75">
      <c r="A10" s="11" t="s">
        <v>975</v>
      </c>
      <c r="B10" s="12" t="s">
        <v>976</v>
      </c>
      <c r="C10" s="12" t="s">
        <v>977</v>
      </c>
      <c r="D10" s="12" t="str">
        <f>"0,5859"</f>
        <v>0,5859</v>
      </c>
      <c r="E10" s="13" t="s">
        <v>592</v>
      </c>
      <c r="F10" s="13" t="s">
        <v>593</v>
      </c>
      <c r="G10" s="12" t="s">
        <v>920</v>
      </c>
      <c r="H10" s="14" t="s">
        <v>978</v>
      </c>
      <c r="I10" s="12" t="s">
        <v>979</v>
      </c>
      <c r="J10" s="14"/>
      <c r="K10" s="12" t="s">
        <v>626</v>
      </c>
      <c r="L10" s="12" t="s">
        <v>436</v>
      </c>
      <c r="M10" s="12" t="s">
        <v>849</v>
      </c>
      <c r="N10" s="14"/>
      <c r="O10" s="12" t="s">
        <v>706</v>
      </c>
      <c r="P10" s="14" t="s">
        <v>829</v>
      </c>
      <c r="Q10" s="12" t="s">
        <v>829</v>
      </c>
      <c r="R10" s="14"/>
      <c r="S10" s="11" t="s">
        <v>980</v>
      </c>
      <c r="T10" s="12" t="str">
        <f>"571,2525"</f>
        <v>571,2525</v>
      </c>
      <c r="U10" s="13" t="s">
        <v>21</v>
      </c>
    </row>
    <row r="11" spans="1:21" ht="12.75">
      <c r="A11" s="15" t="s">
        <v>981</v>
      </c>
      <c r="B11" s="16" t="s">
        <v>982</v>
      </c>
      <c r="C11" s="16" t="s">
        <v>217</v>
      </c>
      <c r="D11" s="16" t="str">
        <f>"0,5916"</f>
        <v>0,5916</v>
      </c>
      <c r="E11" s="17" t="s">
        <v>107</v>
      </c>
      <c r="F11" s="17" t="s">
        <v>108</v>
      </c>
      <c r="G11" s="16" t="s">
        <v>854</v>
      </c>
      <c r="H11" s="16" t="s">
        <v>706</v>
      </c>
      <c r="I11" s="18" t="s">
        <v>82</v>
      </c>
      <c r="J11" s="18"/>
      <c r="K11" s="16" t="s">
        <v>225</v>
      </c>
      <c r="L11" s="18" t="s">
        <v>428</v>
      </c>
      <c r="M11" s="16" t="s">
        <v>428</v>
      </c>
      <c r="N11" s="18"/>
      <c r="O11" s="16" t="s">
        <v>705</v>
      </c>
      <c r="P11" s="18" t="s">
        <v>706</v>
      </c>
      <c r="Q11" s="18" t="s">
        <v>706</v>
      </c>
      <c r="R11" s="18"/>
      <c r="S11" s="15" t="s">
        <v>983</v>
      </c>
      <c r="T11" s="16" t="str">
        <f>"482,1540"</f>
        <v>482,1540</v>
      </c>
      <c r="U11" s="17" t="s">
        <v>21</v>
      </c>
    </row>
    <row r="13" spans="1:20" ht="15.75">
      <c r="A13" s="33" t="s">
        <v>259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3"/>
      <c r="T13" s="34"/>
    </row>
    <row r="14" spans="1:21" ht="12.75">
      <c r="A14" s="6" t="s">
        <v>984</v>
      </c>
      <c r="B14" s="7" t="s">
        <v>985</v>
      </c>
      <c r="C14" s="7" t="s">
        <v>986</v>
      </c>
      <c r="D14" s="7" t="str">
        <f>"0,5580"</f>
        <v>0,5580</v>
      </c>
      <c r="E14" s="8" t="s">
        <v>987</v>
      </c>
      <c r="F14" s="8" t="s">
        <v>988</v>
      </c>
      <c r="G14" s="7" t="s">
        <v>699</v>
      </c>
      <c r="H14" s="7" t="s">
        <v>989</v>
      </c>
      <c r="I14" s="9" t="s">
        <v>979</v>
      </c>
      <c r="J14" s="9"/>
      <c r="K14" s="7" t="s">
        <v>437</v>
      </c>
      <c r="L14" s="9" t="s">
        <v>809</v>
      </c>
      <c r="M14" s="9" t="s">
        <v>868</v>
      </c>
      <c r="N14" s="9"/>
      <c r="O14" s="7" t="s">
        <v>809</v>
      </c>
      <c r="P14" s="9" t="s">
        <v>705</v>
      </c>
      <c r="Q14" s="9" t="s">
        <v>705</v>
      </c>
      <c r="R14" s="9"/>
      <c r="S14" s="6" t="s">
        <v>990</v>
      </c>
      <c r="T14" s="7" t="str">
        <f>"513,3140"</f>
        <v>513,3140</v>
      </c>
      <c r="U14" s="8" t="s">
        <v>21</v>
      </c>
    </row>
    <row r="16" spans="1:20" ht="15.75">
      <c r="A16" s="33" t="s">
        <v>286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3"/>
      <c r="T16" s="34"/>
    </row>
    <row r="17" spans="1:21" ht="12.75">
      <c r="A17" s="11" t="s">
        <v>991</v>
      </c>
      <c r="B17" s="12" t="s">
        <v>992</v>
      </c>
      <c r="C17" s="12" t="s">
        <v>993</v>
      </c>
      <c r="D17" s="12" t="str">
        <f>"0,5380"</f>
        <v>0,5380</v>
      </c>
      <c r="E17" s="13" t="s">
        <v>307</v>
      </c>
      <c r="F17" s="13" t="s">
        <v>994</v>
      </c>
      <c r="G17" s="12" t="s">
        <v>829</v>
      </c>
      <c r="H17" s="12" t="s">
        <v>698</v>
      </c>
      <c r="I17" s="12" t="s">
        <v>995</v>
      </c>
      <c r="J17" s="14"/>
      <c r="K17" s="12" t="s">
        <v>442</v>
      </c>
      <c r="L17" s="12" t="s">
        <v>435</v>
      </c>
      <c r="M17" s="12" t="s">
        <v>835</v>
      </c>
      <c r="N17" s="14"/>
      <c r="O17" s="12" t="s">
        <v>829</v>
      </c>
      <c r="P17" s="12" t="s">
        <v>996</v>
      </c>
      <c r="Q17" s="12" t="s">
        <v>855</v>
      </c>
      <c r="R17" s="14" t="s">
        <v>880</v>
      </c>
      <c r="S17" s="11" t="s">
        <v>997</v>
      </c>
      <c r="T17" s="12" t="str">
        <f>"496,3050"</f>
        <v>496,3050</v>
      </c>
      <c r="U17" s="13" t="s">
        <v>21</v>
      </c>
    </row>
    <row r="18" spans="1:21" ht="12.75">
      <c r="A18" s="15" t="s">
        <v>998</v>
      </c>
      <c r="B18" s="16" t="s">
        <v>999</v>
      </c>
      <c r="C18" s="16" t="s">
        <v>1000</v>
      </c>
      <c r="D18" s="16" t="str">
        <f>"0,5495"</f>
        <v>0,5495</v>
      </c>
      <c r="E18" s="17" t="s">
        <v>440</v>
      </c>
      <c r="F18" s="17" t="s">
        <v>441</v>
      </c>
      <c r="G18" s="16" t="s">
        <v>809</v>
      </c>
      <c r="H18" s="16" t="s">
        <v>854</v>
      </c>
      <c r="I18" s="18" t="s">
        <v>829</v>
      </c>
      <c r="J18" s="18"/>
      <c r="K18" s="16" t="s">
        <v>163</v>
      </c>
      <c r="L18" s="16" t="s">
        <v>428</v>
      </c>
      <c r="M18" s="18" t="s">
        <v>319</v>
      </c>
      <c r="N18" s="18"/>
      <c r="O18" s="16" t="s">
        <v>809</v>
      </c>
      <c r="P18" s="16" t="s">
        <v>854</v>
      </c>
      <c r="Q18" s="18" t="s">
        <v>707</v>
      </c>
      <c r="R18" s="18"/>
      <c r="S18" s="15" t="s">
        <v>1001</v>
      </c>
      <c r="T18" s="16" t="str">
        <f>"439,6000"</f>
        <v>439,6000</v>
      </c>
      <c r="U18" s="17" t="s">
        <v>21</v>
      </c>
    </row>
    <row r="20" spans="1:20" ht="15.75">
      <c r="A20" s="33" t="s">
        <v>300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3"/>
      <c r="T20" s="34"/>
    </row>
    <row r="21" spans="1:21" ht="12.75">
      <c r="A21" s="11" t="s">
        <v>1002</v>
      </c>
      <c r="B21" s="12" t="s">
        <v>1003</v>
      </c>
      <c r="C21" s="12" t="s">
        <v>859</v>
      </c>
      <c r="D21" s="12" t="str">
        <f>"0,5285"</f>
        <v>0,5285</v>
      </c>
      <c r="E21" s="13" t="s">
        <v>307</v>
      </c>
      <c r="F21" s="13" t="s">
        <v>308</v>
      </c>
      <c r="G21" s="12" t="s">
        <v>698</v>
      </c>
      <c r="H21" s="12" t="s">
        <v>699</v>
      </c>
      <c r="I21" s="12" t="s">
        <v>1004</v>
      </c>
      <c r="J21" s="14"/>
      <c r="K21" s="12" t="s">
        <v>855</v>
      </c>
      <c r="L21" s="12" t="s">
        <v>700</v>
      </c>
      <c r="M21" s="12" t="s">
        <v>1005</v>
      </c>
      <c r="N21" s="14"/>
      <c r="O21" s="14" t="s">
        <v>690</v>
      </c>
      <c r="P21" s="12" t="s">
        <v>690</v>
      </c>
      <c r="Q21" s="12" t="s">
        <v>809</v>
      </c>
      <c r="R21" s="14" t="s">
        <v>854</v>
      </c>
      <c r="S21" s="11" t="s">
        <v>1006</v>
      </c>
      <c r="T21" s="12" t="str">
        <f>"533,7850"</f>
        <v>533,7850</v>
      </c>
      <c r="U21" s="13" t="s">
        <v>21</v>
      </c>
    </row>
    <row r="22" spans="1:21" ht="12.75">
      <c r="A22" s="19" t="s">
        <v>1007</v>
      </c>
      <c r="B22" s="20" t="s">
        <v>1008</v>
      </c>
      <c r="C22" s="20" t="s">
        <v>1009</v>
      </c>
      <c r="D22" s="20" t="str">
        <f>"0,5279"</f>
        <v>0,5279</v>
      </c>
      <c r="E22" s="21" t="s">
        <v>592</v>
      </c>
      <c r="F22" s="21" t="s">
        <v>593</v>
      </c>
      <c r="G22" s="20" t="s">
        <v>922</v>
      </c>
      <c r="H22" s="20" t="s">
        <v>878</v>
      </c>
      <c r="I22" s="22" t="s">
        <v>979</v>
      </c>
      <c r="J22" s="22"/>
      <c r="K22" s="22" t="s">
        <v>436</v>
      </c>
      <c r="L22" s="20" t="s">
        <v>436</v>
      </c>
      <c r="M22" s="22" t="s">
        <v>849</v>
      </c>
      <c r="N22" s="22"/>
      <c r="O22" s="20" t="s">
        <v>809</v>
      </c>
      <c r="P22" s="22" t="s">
        <v>705</v>
      </c>
      <c r="Q22" s="22" t="s">
        <v>82</v>
      </c>
      <c r="R22" s="22"/>
      <c r="S22" s="19" t="s">
        <v>990</v>
      </c>
      <c r="T22" s="20" t="str">
        <f>"485,6680"</f>
        <v>485,6680</v>
      </c>
      <c r="U22" s="21" t="s">
        <v>21</v>
      </c>
    </row>
    <row r="23" spans="1:21" ht="12.75">
      <c r="A23" s="15" t="s">
        <v>1010</v>
      </c>
      <c r="B23" s="16" t="s">
        <v>1011</v>
      </c>
      <c r="C23" s="16" t="s">
        <v>697</v>
      </c>
      <c r="D23" s="16" t="str">
        <f>"0,5224"</f>
        <v>0,5224</v>
      </c>
      <c r="E23" s="17" t="s">
        <v>440</v>
      </c>
      <c r="F23" s="17" t="s">
        <v>441</v>
      </c>
      <c r="G23" s="16" t="s">
        <v>450</v>
      </c>
      <c r="H23" s="16" t="s">
        <v>436</v>
      </c>
      <c r="I23" s="18" t="s">
        <v>809</v>
      </c>
      <c r="J23" s="18"/>
      <c r="K23" s="16" t="s">
        <v>154</v>
      </c>
      <c r="L23" s="16" t="s">
        <v>181</v>
      </c>
      <c r="M23" s="16" t="s">
        <v>163</v>
      </c>
      <c r="N23" s="18"/>
      <c r="O23" s="16" t="s">
        <v>450</v>
      </c>
      <c r="P23" s="18" t="s">
        <v>435</v>
      </c>
      <c r="Q23" s="18" t="s">
        <v>436</v>
      </c>
      <c r="R23" s="18"/>
      <c r="S23" s="15" t="s">
        <v>1012</v>
      </c>
      <c r="T23" s="16" t="str">
        <f>"362,9897"</f>
        <v>362,9897</v>
      </c>
      <c r="U23" s="17" t="s">
        <v>21</v>
      </c>
    </row>
    <row r="25" ht="15.75">
      <c r="E25" s="23" t="s">
        <v>325</v>
      </c>
    </row>
    <row r="26" ht="15.75">
      <c r="E26" s="23" t="s">
        <v>326</v>
      </c>
    </row>
    <row r="27" ht="15.75">
      <c r="E27" s="23" t="s">
        <v>327</v>
      </c>
    </row>
    <row r="28" ht="15.75">
      <c r="E28" s="23" t="s">
        <v>328</v>
      </c>
    </row>
    <row r="29" ht="15.75">
      <c r="E29" s="23" t="s">
        <v>328</v>
      </c>
    </row>
    <row r="30" ht="15.75">
      <c r="E30" s="23" t="s">
        <v>329</v>
      </c>
    </row>
    <row r="31" ht="15.75">
      <c r="E31" s="23"/>
    </row>
    <row r="33" spans="1:2" ht="18">
      <c r="A33" s="24" t="s">
        <v>330</v>
      </c>
      <c r="B33" s="25"/>
    </row>
    <row r="34" spans="1:2" ht="15.75">
      <c r="A34" s="26" t="s">
        <v>352</v>
      </c>
      <c r="B34" s="10"/>
    </row>
    <row r="35" spans="1:2" ht="13.5">
      <c r="A35" s="28"/>
      <c r="B35" s="29" t="s">
        <v>361</v>
      </c>
    </row>
    <row r="36" spans="1:5" ht="13.5">
      <c r="A36" s="30" t="s">
        <v>333</v>
      </c>
      <c r="B36" s="30" t="s">
        <v>334</v>
      </c>
      <c r="C36" s="30" t="s">
        <v>335</v>
      </c>
      <c r="D36" s="30" t="s">
        <v>336</v>
      </c>
      <c r="E36" s="30" t="s">
        <v>337</v>
      </c>
    </row>
    <row r="37" spans="1:5" ht="12.75">
      <c r="A37" s="27" t="s">
        <v>969</v>
      </c>
      <c r="B37" s="1" t="s">
        <v>362</v>
      </c>
      <c r="C37" s="1" t="s">
        <v>392</v>
      </c>
      <c r="D37" s="1" t="s">
        <v>894</v>
      </c>
      <c r="E37" s="4" t="s">
        <v>1013</v>
      </c>
    </row>
    <row r="39" spans="1:2" ht="13.5">
      <c r="A39" s="28"/>
      <c r="B39" s="29" t="s">
        <v>332</v>
      </c>
    </row>
    <row r="40" spans="1:5" ht="13.5">
      <c r="A40" s="30" t="s">
        <v>333</v>
      </c>
      <c r="B40" s="30" t="s">
        <v>334</v>
      </c>
      <c r="C40" s="30" t="s">
        <v>335</v>
      </c>
      <c r="D40" s="30" t="s">
        <v>336</v>
      </c>
      <c r="E40" s="30" t="s">
        <v>337</v>
      </c>
    </row>
    <row r="41" spans="1:5" ht="12.75">
      <c r="A41" s="27" t="s">
        <v>975</v>
      </c>
      <c r="B41" s="1" t="s">
        <v>332</v>
      </c>
      <c r="C41" s="1" t="s">
        <v>370</v>
      </c>
      <c r="D41" s="1" t="s">
        <v>1014</v>
      </c>
      <c r="E41" s="4" t="s">
        <v>1015</v>
      </c>
    </row>
    <row r="42" spans="1:5" ht="12.75">
      <c r="A42" s="27" t="s">
        <v>1002</v>
      </c>
      <c r="B42" s="1" t="s">
        <v>332</v>
      </c>
      <c r="C42" s="1" t="s">
        <v>403</v>
      </c>
      <c r="D42" s="1" t="s">
        <v>1016</v>
      </c>
      <c r="E42" s="4" t="s">
        <v>1017</v>
      </c>
    </row>
    <row r="43" spans="1:5" ht="12.75">
      <c r="A43" s="27" t="s">
        <v>984</v>
      </c>
      <c r="B43" s="1" t="s">
        <v>332</v>
      </c>
      <c r="C43" s="1" t="s">
        <v>363</v>
      </c>
      <c r="D43" s="1" t="s">
        <v>1018</v>
      </c>
      <c r="E43" s="4" t="s">
        <v>1019</v>
      </c>
    </row>
    <row r="44" spans="1:5" ht="12.75">
      <c r="A44" s="27" t="s">
        <v>991</v>
      </c>
      <c r="B44" s="1" t="s">
        <v>332</v>
      </c>
      <c r="C44" s="1" t="s">
        <v>379</v>
      </c>
      <c r="D44" s="1" t="s">
        <v>1020</v>
      </c>
      <c r="E44" s="4" t="s">
        <v>1021</v>
      </c>
    </row>
    <row r="45" spans="1:5" ht="12.75">
      <c r="A45" s="27" t="s">
        <v>1007</v>
      </c>
      <c r="B45" s="1" t="s">
        <v>332</v>
      </c>
      <c r="C45" s="1" t="s">
        <v>403</v>
      </c>
      <c r="D45" s="1" t="s">
        <v>1018</v>
      </c>
      <c r="E45" s="4" t="s">
        <v>1022</v>
      </c>
    </row>
    <row r="46" spans="1:5" ht="12.75">
      <c r="A46" s="27" t="s">
        <v>981</v>
      </c>
      <c r="B46" s="1" t="s">
        <v>332</v>
      </c>
      <c r="C46" s="1" t="s">
        <v>370</v>
      </c>
      <c r="D46" s="1" t="s">
        <v>1023</v>
      </c>
      <c r="E46" s="4" t="s">
        <v>1024</v>
      </c>
    </row>
    <row r="47" spans="1:5" ht="12.75">
      <c r="A47" s="27" t="s">
        <v>998</v>
      </c>
      <c r="B47" s="1" t="s">
        <v>332</v>
      </c>
      <c r="C47" s="1" t="s">
        <v>379</v>
      </c>
      <c r="D47" s="1" t="s">
        <v>1025</v>
      </c>
      <c r="E47" s="4" t="s">
        <v>1026</v>
      </c>
    </row>
    <row r="49" spans="1:2" ht="13.5">
      <c r="A49" s="28"/>
      <c r="B49" s="29" t="s">
        <v>347</v>
      </c>
    </row>
    <row r="50" spans="1:5" ht="13.5">
      <c r="A50" s="30" t="s">
        <v>333</v>
      </c>
      <c r="B50" s="30" t="s">
        <v>334</v>
      </c>
      <c r="C50" s="30" t="s">
        <v>335</v>
      </c>
      <c r="D50" s="30" t="s">
        <v>336</v>
      </c>
      <c r="E50" s="30" t="s">
        <v>337</v>
      </c>
    </row>
    <row r="51" spans="1:5" ht="12.75">
      <c r="A51" s="27" t="s">
        <v>504</v>
      </c>
      <c r="B51" s="1" t="s">
        <v>660</v>
      </c>
      <c r="C51" s="1" t="s">
        <v>392</v>
      </c>
      <c r="D51" s="1" t="s">
        <v>909</v>
      </c>
      <c r="E51" s="4" t="s">
        <v>1027</v>
      </c>
    </row>
    <row r="52" spans="1:5" ht="12.75">
      <c r="A52" s="27" t="s">
        <v>1010</v>
      </c>
      <c r="B52" s="1" t="s">
        <v>401</v>
      </c>
      <c r="C52" s="1" t="s">
        <v>403</v>
      </c>
      <c r="D52" s="1" t="s">
        <v>1028</v>
      </c>
      <c r="E52" s="4" t="s">
        <v>1029</v>
      </c>
    </row>
  </sheetData>
  <sheetProtection/>
  <mergeCells count="18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16:T16"/>
    <mergeCell ref="A20:T20"/>
    <mergeCell ref="S3:S4"/>
    <mergeCell ref="T3:T4"/>
    <mergeCell ref="U3:U4"/>
    <mergeCell ref="A5:T5"/>
    <mergeCell ref="A9:T9"/>
    <mergeCell ref="A13:T13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61"/>
  <headerFooter alignWithMargins="0">
    <oddFooter>&amp;L&amp;G&amp;R&amp;D&amp;T&amp;P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A1" sqref="A1:M2"/>
    </sheetView>
  </sheetViews>
  <sheetFormatPr defaultColWidth="9.125" defaultRowHeight="12.75"/>
  <cols>
    <col min="1" max="1" width="28.25390625" style="4" bestFit="1" customWidth="1"/>
    <col min="2" max="2" width="26.875" style="1" bestFit="1" customWidth="1"/>
    <col min="3" max="3" width="10.625" style="1" bestFit="1" customWidth="1"/>
    <col min="4" max="4" width="9.25390625" style="1" bestFit="1" customWidth="1"/>
    <col min="5" max="5" width="22.75390625" style="5" bestFit="1" customWidth="1"/>
    <col min="6" max="6" width="24.375" style="5" bestFit="1" customWidth="1"/>
    <col min="7" max="9" width="5.625" style="1" bestFit="1" customWidth="1"/>
    <col min="10" max="10" width="4.625" style="1" bestFit="1" customWidth="1"/>
    <col min="11" max="11" width="7.875" style="4" bestFit="1" customWidth="1"/>
    <col min="12" max="12" width="8.625" style="1" bestFit="1" customWidth="1"/>
    <col min="13" max="13" width="8.875" style="5" bestFit="1" customWidth="1"/>
    <col min="14" max="16384" width="9.125" style="1" customWidth="1"/>
  </cols>
  <sheetData>
    <row r="1" spans="1:13" ht="15" customHeight="1">
      <c r="A1" s="39" t="s">
        <v>1030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66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2" customFormat="1" ht="12.75" customHeight="1">
      <c r="A3" s="45" t="s">
        <v>0</v>
      </c>
      <c r="B3" s="47" t="s">
        <v>9</v>
      </c>
      <c r="C3" s="37" t="s">
        <v>3</v>
      </c>
      <c r="D3" s="37" t="s">
        <v>11</v>
      </c>
      <c r="E3" s="37" t="s">
        <v>6</v>
      </c>
      <c r="F3" s="37" t="s">
        <v>8</v>
      </c>
      <c r="G3" s="37" t="s">
        <v>418</v>
      </c>
      <c r="H3" s="37"/>
      <c r="I3" s="37"/>
      <c r="J3" s="37"/>
      <c r="K3" s="37" t="s">
        <v>2</v>
      </c>
      <c r="L3" s="37" t="s">
        <v>5</v>
      </c>
      <c r="M3" s="48" t="s">
        <v>4</v>
      </c>
    </row>
    <row r="4" spans="1:13" s="2" customFormat="1" ht="21" customHeight="1" thickBot="1">
      <c r="A4" s="46"/>
      <c r="B4" s="38"/>
      <c r="C4" s="38"/>
      <c r="D4" s="38"/>
      <c r="E4" s="38"/>
      <c r="F4" s="38"/>
      <c r="G4" s="3">
        <v>1</v>
      </c>
      <c r="H4" s="3">
        <v>2</v>
      </c>
      <c r="I4" s="3">
        <v>3</v>
      </c>
      <c r="J4" s="3" t="s">
        <v>7</v>
      </c>
      <c r="K4" s="38"/>
      <c r="L4" s="38"/>
      <c r="M4" s="49"/>
    </row>
    <row r="5" spans="1:12" ht="15.75">
      <c r="A5" s="35" t="s">
        <v>129</v>
      </c>
      <c r="B5" s="36"/>
      <c r="C5" s="36"/>
      <c r="D5" s="36"/>
      <c r="E5" s="36"/>
      <c r="F5" s="36"/>
      <c r="G5" s="36"/>
      <c r="H5" s="36"/>
      <c r="I5" s="36"/>
      <c r="J5" s="36"/>
      <c r="K5" s="35"/>
      <c r="L5" s="36"/>
    </row>
    <row r="6" spans="1:13" ht="12.75">
      <c r="A6" s="6" t="s">
        <v>504</v>
      </c>
      <c r="B6" s="7" t="s">
        <v>505</v>
      </c>
      <c r="C6" s="7" t="s">
        <v>506</v>
      </c>
      <c r="D6" s="7" t="str">
        <f>"0,7160"</f>
        <v>0,7160</v>
      </c>
      <c r="E6" s="8" t="s">
        <v>507</v>
      </c>
      <c r="F6" s="8" t="s">
        <v>507</v>
      </c>
      <c r="G6" s="7" t="s">
        <v>219</v>
      </c>
      <c r="H6" s="7" t="s">
        <v>186</v>
      </c>
      <c r="I6" s="7" t="s">
        <v>187</v>
      </c>
      <c r="J6" s="9"/>
      <c r="K6" s="6" t="s">
        <v>556</v>
      </c>
      <c r="L6" s="7" t="str">
        <f>"221,4433"</f>
        <v>221,4433</v>
      </c>
      <c r="M6" s="8" t="s">
        <v>21</v>
      </c>
    </row>
    <row r="8" spans="1:12" ht="15.75">
      <c r="A8" s="33" t="s">
        <v>214</v>
      </c>
      <c r="B8" s="34"/>
      <c r="C8" s="34"/>
      <c r="D8" s="34"/>
      <c r="E8" s="34"/>
      <c r="F8" s="34"/>
      <c r="G8" s="34"/>
      <c r="H8" s="34"/>
      <c r="I8" s="34"/>
      <c r="J8" s="34"/>
      <c r="K8" s="33"/>
      <c r="L8" s="34"/>
    </row>
    <row r="9" spans="1:13" ht="12.75">
      <c r="A9" s="6" t="s">
        <v>981</v>
      </c>
      <c r="B9" s="7" t="s">
        <v>982</v>
      </c>
      <c r="C9" s="7" t="s">
        <v>217</v>
      </c>
      <c r="D9" s="7" t="str">
        <f>"0,5916"</f>
        <v>0,5916</v>
      </c>
      <c r="E9" s="8" t="s">
        <v>107</v>
      </c>
      <c r="F9" s="8" t="s">
        <v>108</v>
      </c>
      <c r="G9" s="7" t="s">
        <v>854</v>
      </c>
      <c r="H9" s="7" t="s">
        <v>706</v>
      </c>
      <c r="I9" s="9" t="s">
        <v>82</v>
      </c>
      <c r="J9" s="9"/>
      <c r="K9" s="6" t="s">
        <v>1031</v>
      </c>
      <c r="L9" s="7" t="str">
        <f>"183,3960"</f>
        <v>183,3960</v>
      </c>
      <c r="M9" s="8" t="s">
        <v>21</v>
      </c>
    </row>
    <row r="11" spans="1:12" ht="15.75">
      <c r="A11" s="33" t="s">
        <v>300</v>
      </c>
      <c r="B11" s="34"/>
      <c r="C11" s="34"/>
      <c r="D11" s="34"/>
      <c r="E11" s="34"/>
      <c r="F11" s="34"/>
      <c r="G11" s="34"/>
      <c r="H11" s="34"/>
      <c r="I11" s="34"/>
      <c r="J11" s="34"/>
      <c r="K11" s="33"/>
      <c r="L11" s="34"/>
    </row>
    <row r="12" spans="1:13" ht="12.75">
      <c r="A12" s="6" t="s">
        <v>1010</v>
      </c>
      <c r="B12" s="7" t="s">
        <v>1011</v>
      </c>
      <c r="C12" s="7" t="s">
        <v>697</v>
      </c>
      <c r="D12" s="7" t="str">
        <f>"0,5224"</f>
        <v>0,5224</v>
      </c>
      <c r="E12" s="8" t="s">
        <v>440</v>
      </c>
      <c r="F12" s="8" t="s">
        <v>441</v>
      </c>
      <c r="G12" s="7" t="s">
        <v>450</v>
      </c>
      <c r="H12" s="7" t="s">
        <v>436</v>
      </c>
      <c r="I12" s="9" t="s">
        <v>809</v>
      </c>
      <c r="J12" s="9"/>
      <c r="K12" s="6" t="s">
        <v>952</v>
      </c>
      <c r="L12" s="7" t="str">
        <f>"139,6114"</f>
        <v>139,6114</v>
      </c>
      <c r="M12" s="8" t="s">
        <v>21</v>
      </c>
    </row>
    <row r="14" ht="15.75">
      <c r="E14" s="23" t="s">
        <v>325</v>
      </c>
    </row>
    <row r="15" ht="15.75">
      <c r="E15" s="23" t="s">
        <v>326</v>
      </c>
    </row>
    <row r="16" ht="15.75">
      <c r="E16" s="23" t="s">
        <v>327</v>
      </c>
    </row>
    <row r="17" ht="15.75">
      <c r="E17" s="23" t="s">
        <v>328</v>
      </c>
    </row>
    <row r="18" ht="15.75">
      <c r="E18" s="23" t="s">
        <v>328</v>
      </c>
    </row>
    <row r="19" ht="15.75">
      <c r="E19" s="23" t="s">
        <v>329</v>
      </c>
    </row>
    <row r="20" ht="15.75">
      <c r="E20" s="23"/>
    </row>
    <row r="22" spans="1:2" ht="18">
      <c r="A22" s="24" t="s">
        <v>330</v>
      </c>
      <c r="B22" s="25"/>
    </row>
    <row r="23" spans="1:2" ht="15.75">
      <c r="A23" s="26" t="s">
        <v>352</v>
      </c>
      <c r="B23" s="10"/>
    </row>
    <row r="24" spans="1:2" ht="13.5">
      <c r="A24" s="28"/>
      <c r="B24" s="29" t="s">
        <v>332</v>
      </c>
    </row>
    <row r="25" spans="1:5" ht="13.5">
      <c r="A25" s="30" t="s">
        <v>333</v>
      </c>
      <c r="B25" s="30" t="s">
        <v>334</v>
      </c>
      <c r="C25" s="30" t="s">
        <v>335</v>
      </c>
      <c r="D25" s="30" t="s">
        <v>336</v>
      </c>
      <c r="E25" s="30" t="s">
        <v>337</v>
      </c>
    </row>
    <row r="26" spans="1:5" ht="12.75">
      <c r="A26" s="27" t="s">
        <v>981</v>
      </c>
      <c r="B26" s="1" t="s">
        <v>332</v>
      </c>
      <c r="C26" s="1" t="s">
        <v>370</v>
      </c>
      <c r="D26" s="1" t="s">
        <v>706</v>
      </c>
      <c r="E26" s="4" t="s">
        <v>1032</v>
      </c>
    </row>
    <row r="28" spans="1:2" ht="13.5">
      <c r="A28" s="28"/>
      <c r="B28" s="29" t="s">
        <v>347</v>
      </c>
    </row>
    <row r="29" spans="1:5" ht="13.5">
      <c r="A29" s="30" t="s">
        <v>333</v>
      </c>
      <c r="B29" s="30" t="s">
        <v>334</v>
      </c>
      <c r="C29" s="30" t="s">
        <v>335</v>
      </c>
      <c r="D29" s="30" t="s">
        <v>336</v>
      </c>
      <c r="E29" s="30" t="s">
        <v>337</v>
      </c>
    </row>
    <row r="30" spans="1:5" ht="12.75">
      <c r="A30" s="27" t="s">
        <v>504</v>
      </c>
      <c r="B30" s="1" t="s">
        <v>660</v>
      </c>
      <c r="C30" s="1" t="s">
        <v>392</v>
      </c>
      <c r="D30" s="1" t="s">
        <v>187</v>
      </c>
      <c r="E30" s="4" t="s">
        <v>1033</v>
      </c>
    </row>
    <row r="31" spans="1:5" ht="12.75">
      <c r="A31" s="27" t="s">
        <v>1010</v>
      </c>
      <c r="B31" s="1" t="s">
        <v>401</v>
      </c>
      <c r="C31" s="1" t="s">
        <v>403</v>
      </c>
      <c r="D31" s="1" t="s">
        <v>436</v>
      </c>
      <c r="E31" s="4" t="s">
        <v>1034</v>
      </c>
    </row>
  </sheetData>
  <sheetProtection/>
  <mergeCells count="14"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79"/>
  <headerFooter alignWithMargins="0">
    <oddFooter>&amp;L&amp;G&amp;R&amp;D&amp;T&amp;P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">
      <selection activeCell="A1" sqref="A1:M2"/>
    </sheetView>
  </sheetViews>
  <sheetFormatPr defaultColWidth="9.125" defaultRowHeight="12.75"/>
  <cols>
    <col min="1" max="1" width="28.25390625" style="4" bestFit="1" customWidth="1"/>
    <col min="2" max="2" width="26.875" style="1" bestFit="1" customWidth="1"/>
    <col min="3" max="3" width="10.625" style="1" bestFit="1" customWidth="1"/>
    <col min="4" max="4" width="9.25390625" style="1" bestFit="1" customWidth="1"/>
    <col min="5" max="5" width="22.75390625" style="5" bestFit="1" customWidth="1"/>
    <col min="6" max="6" width="32.625" style="5" bestFit="1" customWidth="1"/>
    <col min="7" max="10" width="5.625" style="1" bestFit="1" customWidth="1"/>
    <col min="11" max="11" width="7.875" style="4" bestFit="1" customWidth="1"/>
    <col min="12" max="12" width="8.625" style="1" bestFit="1" customWidth="1"/>
    <col min="13" max="13" width="12.625" style="5" bestFit="1" customWidth="1"/>
    <col min="14" max="16384" width="9.125" style="1" customWidth="1"/>
  </cols>
  <sheetData>
    <row r="1" spans="1:13" ht="15" customHeight="1">
      <c r="A1" s="39" t="s">
        <v>1035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66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2" customFormat="1" ht="12.75" customHeight="1">
      <c r="A3" s="45" t="s">
        <v>0</v>
      </c>
      <c r="B3" s="47" t="s">
        <v>9</v>
      </c>
      <c r="C3" s="37" t="s">
        <v>3</v>
      </c>
      <c r="D3" s="37" t="s">
        <v>11</v>
      </c>
      <c r="E3" s="37" t="s">
        <v>6</v>
      </c>
      <c r="F3" s="37" t="s">
        <v>8</v>
      </c>
      <c r="G3" s="37" t="s">
        <v>419</v>
      </c>
      <c r="H3" s="37"/>
      <c r="I3" s="37"/>
      <c r="J3" s="37"/>
      <c r="K3" s="37" t="s">
        <v>2</v>
      </c>
      <c r="L3" s="37" t="s">
        <v>5</v>
      </c>
      <c r="M3" s="48" t="s">
        <v>4</v>
      </c>
    </row>
    <row r="4" spans="1:13" s="2" customFormat="1" ht="21" customHeight="1" thickBot="1">
      <c r="A4" s="46"/>
      <c r="B4" s="38"/>
      <c r="C4" s="38"/>
      <c r="D4" s="38"/>
      <c r="E4" s="38"/>
      <c r="F4" s="38"/>
      <c r="G4" s="3">
        <v>1</v>
      </c>
      <c r="H4" s="3">
        <v>2</v>
      </c>
      <c r="I4" s="3">
        <v>3</v>
      </c>
      <c r="J4" s="3" t="s">
        <v>7</v>
      </c>
      <c r="K4" s="38"/>
      <c r="L4" s="38"/>
      <c r="M4" s="49"/>
    </row>
    <row r="5" spans="1:12" ht="15.75">
      <c r="A5" s="35" t="s">
        <v>22</v>
      </c>
      <c r="B5" s="36"/>
      <c r="C5" s="36"/>
      <c r="D5" s="36"/>
      <c r="E5" s="36"/>
      <c r="F5" s="36"/>
      <c r="G5" s="36"/>
      <c r="H5" s="36"/>
      <c r="I5" s="36"/>
      <c r="J5" s="36"/>
      <c r="K5" s="35"/>
      <c r="L5" s="36"/>
    </row>
    <row r="6" spans="1:13" ht="12.75">
      <c r="A6" s="6" t="s">
        <v>1036</v>
      </c>
      <c r="B6" s="7" t="s">
        <v>1037</v>
      </c>
      <c r="C6" s="7" t="s">
        <v>1038</v>
      </c>
      <c r="D6" s="7" t="str">
        <f>"0,9731"</f>
        <v>0,9731</v>
      </c>
      <c r="E6" s="8" t="s">
        <v>26</v>
      </c>
      <c r="F6" s="8" t="s">
        <v>90</v>
      </c>
      <c r="G6" s="7" t="s">
        <v>154</v>
      </c>
      <c r="H6" s="7" t="s">
        <v>187</v>
      </c>
      <c r="I6" s="7" t="s">
        <v>180</v>
      </c>
      <c r="J6" s="9" t="s">
        <v>181</v>
      </c>
      <c r="K6" s="6" t="s">
        <v>182</v>
      </c>
      <c r="L6" s="7" t="str">
        <f>"150,8305"</f>
        <v>150,8305</v>
      </c>
      <c r="M6" s="8" t="s">
        <v>21</v>
      </c>
    </row>
    <row r="8" spans="1:12" ht="15.75">
      <c r="A8" s="33" t="s">
        <v>129</v>
      </c>
      <c r="B8" s="34"/>
      <c r="C8" s="34"/>
      <c r="D8" s="34"/>
      <c r="E8" s="34"/>
      <c r="F8" s="34"/>
      <c r="G8" s="34"/>
      <c r="H8" s="34"/>
      <c r="I8" s="34"/>
      <c r="J8" s="34"/>
      <c r="K8" s="33"/>
      <c r="L8" s="34"/>
    </row>
    <row r="9" spans="1:13" ht="12.75">
      <c r="A9" s="6" t="s">
        <v>504</v>
      </c>
      <c r="B9" s="7" t="s">
        <v>505</v>
      </c>
      <c r="C9" s="7" t="s">
        <v>506</v>
      </c>
      <c r="D9" s="7" t="str">
        <f>"0,7160"</f>
        <v>0,7160</v>
      </c>
      <c r="E9" s="8" t="s">
        <v>507</v>
      </c>
      <c r="F9" s="8" t="s">
        <v>507</v>
      </c>
      <c r="G9" s="7" t="s">
        <v>181</v>
      </c>
      <c r="H9" s="7" t="s">
        <v>161</v>
      </c>
      <c r="I9" s="9" t="s">
        <v>163</v>
      </c>
      <c r="J9" s="9"/>
      <c r="K9" s="6" t="s">
        <v>309</v>
      </c>
      <c r="L9" s="7" t="str">
        <f>"250,9691"</f>
        <v>250,9691</v>
      </c>
      <c r="M9" s="8" t="s">
        <v>21</v>
      </c>
    </row>
    <row r="11" spans="1:12" ht="15.75">
      <c r="A11" s="33" t="s">
        <v>214</v>
      </c>
      <c r="B11" s="34"/>
      <c r="C11" s="34"/>
      <c r="D11" s="34"/>
      <c r="E11" s="34"/>
      <c r="F11" s="34"/>
      <c r="G11" s="34"/>
      <c r="H11" s="34"/>
      <c r="I11" s="34"/>
      <c r="J11" s="34"/>
      <c r="K11" s="33"/>
      <c r="L11" s="34"/>
    </row>
    <row r="12" spans="1:13" ht="12.75">
      <c r="A12" s="6" t="s">
        <v>981</v>
      </c>
      <c r="B12" s="7" t="s">
        <v>982</v>
      </c>
      <c r="C12" s="7" t="s">
        <v>217</v>
      </c>
      <c r="D12" s="7" t="str">
        <f>"0,5916"</f>
        <v>0,5916</v>
      </c>
      <c r="E12" s="8" t="s">
        <v>107</v>
      </c>
      <c r="F12" s="8" t="s">
        <v>108</v>
      </c>
      <c r="G12" s="7" t="s">
        <v>705</v>
      </c>
      <c r="H12" s="9" t="s">
        <v>706</v>
      </c>
      <c r="I12" s="9" t="s">
        <v>706</v>
      </c>
      <c r="J12" s="9"/>
      <c r="K12" s="6" t="s">
        <v>708</v>
      </c>
      <c r="L12" s="7" t="str">
        <f>"180,4380"</f>
        <v>180,4380</v>
      </c>
      <c r="M12" s="8" t="s">
        <v>21</v>
      </c>
    </row>
    <row r="14" spans="1:12" ht="15.75">
      <c r="A14" s="33" t="s">
        <v>259</v>
      </c>
      <c r="B14" s="34"/>
      <c r="C14" s="34"/>
      <c r="D14" s="34"/>
      <c r="E14" s="34"/>
      <c r="F14" s="34"/>
      <c r="G14" s="34"/>
      <c r="H14" s="34"/>
      <c r="I14" s="34"/>
      <c r="J14" s="34"/>
      <c r="K14" s="33"/>
      <c r="L14" s="34"/>
    </row>
    <row r="15" spans="1:13" ht="12.75">
      <c r="A15" s="6" t="s">
        <v>1039</v>
      </c>
      <c r="B15" s="7" t="s">
        <v>1040</v>
      </c>
      <c r="C15" s="7" t="s">
        <v>1041</v>
      </c>
      <c r="D15" s="7" t="str">
        <f>"0,5592"</f>
        <v>0,5592</v>
      </c>
      <c r="E15" s="8" t="s">
        <v>987</v>
      </c>
      <c r="F15" s="8" t="s">
        <v>988</v>
      </c>
      <c r="G15" s="7" t="s">
        <v>809</v>
      </c>
      <c r="H15" s="7" t="s">
        <v>854</v>
      </c>
      <c r="I15" s="9" t="s">
        <v>82</v>
      </c>
      <c r="J15" s="9"/>
      <c r="K15" s="6" t="s">
        <v>1042</v>
      </c>
      <c r="L15" s="7" t="str">
        <f>"187,4047"</f>
        <v>187,4047</v>
      </c>
      <c r="M15" s="8" t="s">
        <v>1043</v>
      </c>
    </row>
    <row r="17" spans="1:12" ht="15.75">
      <c r="A17" s="33" t="s">
        <v>286</v>
      </c>
      <c r="B17" s="34"/>
      <c r="C17" s="34"/>
      <c r="D17" s="34"/>
      <c r="E17" s="34"/>
      <c r="F17" s="34"/>
      <c r="G17" s="34"/>
      <c r="H17" s="34"/>
      <c r="I17" s="34"/>
      <c r="J17" s="34"/>
      <c r="K17" s="33"/>
      <c r="L17" s="34"/>
    </row>
    <row r="18" spans="1:13" ht="12.75">
      <c r="A18" s="6" t="s">
        <v>998</v>
      </c>
      <c r="B18" s="7" t="s">
        <v>999</v>
      </c>
      <c r="C18" s="7" t="s">
        <v>1000</v>
      </c>
      <c r="D18" s="7" t="str">
        <f>"0,5495"</f>
        <v>0,5495</v>
      </c>
      <c r="E18" s="8" t="s">
        <v>440</v>
      </c>
      <c r="F18" s="8" t="s">
        <v>441</v>
      </c>
      <c r="G18" s="7" t="s">
        <v>809</v>
      </c>
      <c r="H18" s="7" t="s">
        <v>854</v>
      </c>
      <c r="I18" s="9" t="s">
        <v>707</v>
      </c>
      <c r="J18" s="9"/>
      <c r="K18" s="6" t="s">
        <v>1042</v>
      </c>
      <c r="L18" s="7" t="str">
        <f>"164,8500"</f>
        <v>164,8500</v>
      </c>
      <c r="M18" s="8" t="s">
        <v>21</v>
      </c>
    </row>
    <row r="20" ht="15.75">
      <c r="E20" s="23" t="s">
        <v>325</v>
      </c>
    </row>
    <row r="21" ht="15.75">
      <c r="E21" s="23" t="s">
        <v>326</v>
      </c>
    </row>
    <row r="22" ht="15.75">
      <c r="E22" s="23" t="s">
        <v>327</v>
      </c>
    </row>
    <row r="23" ht="15.75">
      <c r="E23" s="23" t="s">
        <v>328</v>
      </c>
    </row>
    <row r="24" ht="15.75">
      <c r="E24" s="23" t="s">
        <v>328</v>
      </c>
    </row>
    <row r="25" ht="15.75">
      <c r="E25" s="23" t="s">
        <v>329</v>
      </c>
    </row>
    <row r="26" ht="15.75">
      <c r="E26" s="23"/>
    </row>
    <row r="28" spans="1:2" ht="18">
      <c r="A28" s="24" t="s">
        <v>330</v>
      </c>
      <c r="B28" s="25"/>
    </row>
    <row r="29" spans="1:2" ht="15.75">
      <c r="A29" s="26" t="s">
        <v>331</v>
      </c>
      <c r="B29" s="10"/>
    </row>
    <row r="30" spans="1:2" ht="13.5">
      <c r="A30" s="28"/>
      <c r="B30" s="29" t="s">
        <v>332</v>
      </c>
    </row>
    <row r="31" spans="1:5" ht="13.5">
      <c r="A31" s="30" t="s">
        <v>333</v>
      </c>
      <c r="B31" s="30" t="s">
        <v>334</v>
      </c>
      <c r="C31" s="30" t="s">
        <v>335</v>
      </c>
      <c r="D31" s="30" t="s">
        <v>336</v>
      </c>
      <c r="E31" s="30" t="s">
        <v>337</v>
      </c>
    </row>
    <row r="32" spans="1:5" ht="12.75">
      <c r="A32" s="27" t="s">
        <v>1036</v>
      </c>
      <c r="B32" s="1" t="s">
        <v>332</v>
      </c>
      <c r="C32" s="1" t="s">
        <v>338</v>
      </c>
      <c r="D32" s="1" t="s">
        <v>180</v>
      </c>
      <c r="E32" s="4" t="s">
        <v>1044</v>
      </c>
    </row>
    <row r="35" spans="1:2" ht="15.75">
      <c r="A35" s="26" t="s">
        <v>352</v>
      </c>
      <c r="B35" s="10"/>
    </row>
    <row r="36" spans="1:2" ht="13.5">
      <c r="A36" s="28"/>
      <c r="B36" s="29" t="s">
        <v>332</v>
      </c>
    </row>
    <row r="37" spans="1:5" ht="13.5">
      <c r="A37" s="30" t="s">
        <v>333</v>
      </c>
      <c r="B37" s="30" t="s">
        <v>334</v>
      </c>
      <c r="C37" s="30" t="s">
        <v>335</v>
      </c>
      <c r="D37" s="30" t="s">
        <v>336</v>
      </c>
      <c r="E37" s="30" t="s">
        <v>337</v>
      </c>
    </row>
    <row r="38" spans="1:5" ht="12.75">
      <c r="A38" s="27" t="s">
        <v>981</v>
      </c>
      <c r="B38" s="1" t="s">
        <v>332</v>
      </c>
      <c r="C38" s="1" t="s">
        <v>370</v>
      </c>
      <c r="D38" s="1" t="s">
        <v>705</v>
      </c>
      <c r="E38" s="4" t="s">
        <v>1045</v>
      </c>
    </row>
    <row r="39" spans="1:5" ht="12.75">
      <c r="A39" s="27" t="s">
        <v>998</v>
      </c>
      <c r="B39" s="1" t="s">
        <v>332</v>
      </c>
      <c r="C39" s="1" t="s">
        <v>379</v>
      </c>
      <c r="D39" s="1" t="s">
        <v>854</v>
      </c>
      <c r="E39" s="4" t="s">
        <v>1046</v>
      </c>
    </row>
    <row r="41" spans="1:2" ht="13.5">
      <c r="A41" s="28"/>
      <c r="B41" s="29" t="s">
        <v>347</v>
      </c>
    </row>
    <row r="42" spans="1:5" ht="13.5">
      <c r="A42" s="30" t="s">
        <v>333</v>
      </c>
      <c r="B42" s="30" t="s">
        <v>334</v>
      </c>
      <c r="C42" s="30" t="s">
        <v>335</v>
      </c>
      <c r="D42" s="30" t="s">
        <v>336</v>
      </c>
      <c r="E42" s="30" t="s">
        <v>337</v>
      </c>
    </row>
    <row r="43" spans="1:5" ht="12.75">
      <c r="A43" s="27" t="s">
        <v>504</v>
      </c>
      <c r="B43" s="1" t="s">
        <v>660</v>
      </c>
      <c r="C43" s="1" t="s">
        <v>392</v>
      </c>
      <c r="D43" s="1" t="s">
        <v>161</v>
      </c>
      <c r="E43" s="4" t="s">
        <v>1047</v>
      </c>
    </row>
    <row r="44" spans="1:5" ht="12.75">
      <c r="A44" s="27" t="s">
        <v>1039</v>
      </c>
      <c r="B44" s="1" t="s">
        <v>401</v>
      </c>
      <c r="C44" s="1" t="s">
        <v>363</v>
      </c>
      <c r="D44" s="1" t="s">
        <v>854</v>
      </c>
      <c r="E44" s="4" t="s">
        <v>1048</v>
      </c>
    </row>
  </sheetData>
  <sheetProtection/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  <mergeCell ref="A14:L14"/>
    <mergeCell ref="A17:L17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73"/>
  <headerFooter alignWithMargins="0">
    <oddFooter>&amp;L&amp;G&amp;R&amp;D&amp;T&amp;P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A1">
      <selection activeCell="A1" sqref="A1:K2"/>
    </sheetView>
  </sheetViews>
  <sheetFormatPr defaultColWidth="9.125" defaultRowHeight="12.75"/>
  <cols>
    <col min="1" max="1" width="28.25390625" style="4" bestFit="1" customWidth="1"/>
    <col min="2" max="2" width="21.375" style="1" bestFit="1" customWidth="1"/>
    <col min="3" max="3" width="10.625" style="1" bestFit="1" customWidth="1"/>
    <col min="4" max="4" width="10.75390625" style="1" bestFit="1" customWidth="1"/>
    <col min="5" max="5" width="22.75390625" style="5" bestFit="1" customWidth="1"/>
    <col min="6" max="6" width="38.25390625" style="5" bestFit="1" customWidth="1"/>
    <col min="7" max="8" width="4.625" style="1" bestFit="1" customWidth="1"/>
    <col min="9" max="9" width="7.875" style="4" bestFit="1" customWidth="1"/>
    <col min="10" max="10" width="8.625" style="1" bestFit="1" customWidth="1"/>
    <col min="11" max="11" width="8.875" style="5" bestFit="1" customWidth="1"/>
    <col min="12" max="16384" width="9.125" style="1" customWidth="1"/>
  </cols>
  <sheetData>
    <row r="1" spans="1:11" ht="15" customHeight="1">
      <c r="A1" s="39" t="s">
        <v>1203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66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2" customFormat="1" ht="12.75" customHeight="1">
      <c r="A3" s="45" t="s">
        <v>0</v>
      </c>
      <c r="B3" s="47" t="s">
        <v>9</v>
      </c>
      <c r="C3" s="37" t="s">
        <v>3</v>
      </c>
      <c r="D3" s="37" t="s">
        <v>1050</v>
      </c>
      <c r="E3" s="37" t="s">
        <v>6</v>
      </c>
      <c r="F3" s="37" t="s">
        <v>8</v>
      </c>
      <c r="G3" s="37" t="s">
        <v>1</v>
      </c>
      <c r="H3" s="37"/>
      <c r="I3" s="37" t="s">
        <v>2</v>
      </c>
      <c r="J3" s="37" t="s">
        <v>5</v>
      </c>
      <c r="K3" s="48" t="s">
        <v>4</v>
      </c>
    </row>
    <row r="4" spans="1:11" s="2" customFormat="1" ht="21" customHeight="1" thickBot="1">
      <c r="A4" s="46"/>
      <c r="B4" s="38"/>
      <c r="C4" s="38"/>
      <c r="D4" s="38"/>
      <c r="E4" s="38"/>
      <c r="F4" s="38"/>
      <c r="G4" s="3">
        <v>1</v>
      </c>
      <c r="H4" s="3">
        <v>2</v>
      </c>
      <c r="I4" s="38"/>
      <c r="J4" s="38"/>
      <c r="K4" s="49"/>
    </row>
    <row r="5" spans="1:10" ht="15.75">
      <c r="A5" s="35" t="s">
        <v>22</v>
      </c>
      <c r="B5" s="36"/>
      <c r="C5" s="36"/>
      <c r="D5" s="36"/>
      <c r="E5" s="36"/>
      <c r="F5" s="36"/>
      <c r="G5" s="36"/>
      <c r="H5" s="36"/>
      <c r="I5" s="35"/>
      <c r="J5" s="36"/>
    </row>
    <row r="6" spans="1:11" ht="12.75">
      <c r="A6" s="6" t="s">
        <v>13</v>
      </c>
      <c r="B6" s="7" t="s">
        <v>14</v>
      </c>
      <c r="C6" s="7" t="s">
        <v>1204</v>
      </c>
      <c r="D6" s="7" t="str">
        <f>"0,9406"</f>
        <v>0,9406</v>
      </c>
      <c r="E6" s="8" t="s">
        <v>16</v>
      </c>
      <c r="F6" s="8" t="s">
        <v>17</v>
      </c>
      <c r="G6" s="7" t="s">
        <v>1122</v>
      </c>
      <c r="H6" s="9" t="s">
        <v>1083</v>
      </c>
      <c r="I6" s="6" t="s">
        <v>1205</v>
      </c>
      <c r="J6" s="7" t="str">
        <f>"801,8615"</f>
        <v>801,8615</v>
      </c>
      <c r="K6" s="8" t="s">
        <v>21</v>
      </c>
    </row>
    <row r="8" ht="15.75">
      <c r="E8" s="23" t="s">
        <v>325</v>
      </c>
    </row>
    <row r="9" ht="15.75">
      <c r="E9" s="23" t="s">
        <v>326</v>
      </c>
    </row>
    <row r="10" ht="15.75">
      <c r="E10" s="23" t="s">
        <v>327</v>
      </c>
    </row>
    <row r="11" ht="15.75">
      <c r="E11" s="23" t="s">
        <v>328</v>
      </c>
    </row>
    <row r="12" ht="15.75">
      <c r="E12" s="23" t="s">
        <v>328</v>
      </c>
    </row>
    <row r="13" ht="15.75">
      <c r="E13" s="23" t="s">
        <v>329</v>
      </c>
    </row>
    <row r="14" ht="15.75">
      <c r="E14" s="23"/>
    </row>
    <row r="16" spans="1:2" ht="18">
      <c r="A16" s="24" t="s">
        <v>330</v>
      </c>
      <c r="B16" s="25"/>
    </row>
    <row r="17" spans="1:2" ht="15.75">
      <c r="A17" s="26" t="s">
        <v>331</v>
      </c>
      <c r="B17" s="10"/>
    </row>
    <row r="18" spans="1:2" ht="13.5">
      <c r="A18" s="28"/>
      <c r="B18" s="29" t="s">
        <v>332</v>
      </c>
    </row>
    <row r="19" spans="1:5" ht="13.5">
      <c r="A19" s="30" t="s">
        <v>333</v>
      </c>
      <c r="B19" s="30" t="s">
        <v>334</v>
      </c>
      <c r="C19" s="30" t="s">
        <v>335</v>
      </c>
      <c r="D19" s="30" t="s">
        <v>336</v>
      </c>
      <c r="E19" s="30" t="s">
        <v>1087</v>
      </c>
    </row>
    <row r="20" spans="1:5" ht="12.75">
      <c r="A20" s="27" t="s">
        <v>13</v>
      </c>
      <c r="B20" s="1" t="s">
        <v>332</v>
      </c>
      <c r="C20" s="1" t="s">
        <v>338</v>
      </c>
      <c r="D20" s="1" t="s">
        <v>1206</v>
      </c>
      <c r="E20" s="4" t="s">
        <v>1207</v>
      </c>
    </row>
  </sheetData>
  <sheetProtection/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J5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1">
      <selection activeCell="A1" sqref="A1:K2"/>
    </sheetView>
  </sheetViews>
  <sheetFormatPr defaultColWidth="9.125" defaultRowHeight="12.75"/>
  <cols>
    <col min="1" max="1" width="28.25390625" style="4" bestFit="1" customWidth="1"/>
    <col min="2" max="2" width="21.375" style="1" bestFit="1" customWidth="1"/>
    <col min="3" max="3" width="10.625" style="1" bestFit="1" customWidth="1"/>
    <col min="4" max="4" width="10.75390625" style="1" bestFit="1" customWidth="1"/>
    <col min="5" max="5" width="22.75390625" style="5" bestFit="1" customWidth="1"/>
    <col min="6" max="6" width="38.25390625" style="5" bestFit="1" customWidth="1"/>
    <col min="7" max="7" width="5.625" style="1" bestFit="1" customWidth="1"/>
    <col min="8" max="8" width="4.625" style="1" bestFit="1" customWidth="1"/>
    <col min="9" max="9" width="7.875" style="4" bestFit="1" customWidth="1"/>
    <col min="10" max="10" width="9.625" style="1" bestFit="1" customWidth="1"/>
    <col min="11" max="11" width="8.875" style="5" bestFit="1" customWidth="1"/>
    <col min="12" max="16384" width="9.125" style="1" customWidth="1"/>
  </cols>
  <sheetData>
    <row r="1" spans="1:11" ht="15" customHeight="1">
      <c r="A1" s="39" t="s">
        <v>1162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66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2" customFormat="1" ht="12.75" customHeight="1">
      <c r="A3" s="45" t="s">
        <v>0</v>
      </c>
      <c r="B3" s="47" t="s">
        <v>9</v>
      </c>
      <c r="C3" s="37" t="s">
        <v>3</v>
      </c>
      <c r="D3" s="37" t="s">
        <v>1050</v>
      </c>
      <c r="E3" s="37" t="s">
        <v>6</v>
      </c>
      <c r="F3" s="37" t="s">
        <v>8</v>
      </c>
      <c r="G3" s="37" t="s">
        <v>1</v>
      </c>
      <c r="H3" s="37"/>
      <c r="I3" s="37" t="s">
        <v>2</v>
      </c>
      <c r="J3" s="37" t="s">
        <v>5</v>
      </c>
      <c r="K3" s="48" t="s">
        <v>4</v>
      </c>
    </row>
    <row r="4" spans="1:11" s="2" customFormat="1" ht="21" customHeight="1" thickBot="1">
      <c r="A4" s="46"/>
      <c r="B4" s="38"/>
      <c r="C4" s="38"/>
      <c r="D4" s="38"/>
      <c r="E4" s="38"/>
      <c r="F4" s="38"/>
      <c r="G4" s="3">
        <v>1</v>
      </c>
      <c r="H4" s="3">
        <v>2</v>
      </c>
      <c r="I4" s="38"/>
      <c r="J4" s="38"/>
      <c r="K4" s="49"/>
    </row>
    <row r="5" spans="1:10" ht="15.75">
      <c r="A5" s="35" t="s">
        <v>129</v>
      </c>
      <c r="B5" s="36"/>
      <c r="C5" s="36"/>
      <c r="D5" s="36"/>
      <c r="E5" s="36"/>
      <c r="F5" s="36"/>
      <c r="G5" s="36"/>
      <c r="H5" s="36"/>
      <c r="I5" s="35"/>
      <c r="J5" s="36"/>
    </row>
    <row r="6" spans="1:11" ht="12.75">
      <c r="A6" s="6" t="s">
        <v>1163</v>
      </c>
      <c r="B6" s="7" t="s">
        <v>1164</v>
      </c>
      <c r="C6" s="7" t="s">
        <v>1165</v>
      </c>
      <c r="D6" s="7" t="str">
        <f>"0,8414"</f>
        <v>0,8414</v>
      </c>
      <c r="E6" s="8" t="s">
        <v>804</v>
      </c>
      <c r="F6" s="8" t="s">
        <v>805</v>
      </c>
      <c r="G6" s="7" t="s">
        <v>756</v>
      </c>
      <c r="H6" s="9" t="s">
        <v>1166</v>
      </c>
      <c r="I6" s="6" t="s">
        <v>1167</v>
      </c>
      <c r="J6" s="7" t="str">
        <f>"1342,0330"</f>
        <v>1342,0330</v>
      </c>
      <c r="K6" s="8" t="s">
        <v>21</v>
      </c>
    </row>
    <row r="8" spans="1:10" ht="15.75">
      <c r="A8" s="33" t="s">
        <v>150</v>
      </c>
      <c r="B8" s="34"/>
      <c r="C8" s="34"/>
      <c r="D8" s="34"/>
      <c r="E8" s="34"/>
      <c r="F8" s="34"/>
      <c r="G8" s="34"/>
      <c r="H8" s="34"/>
      <c r="I8" s="33"/>
      <c r="J8" s="34"/>
    </row>
    <row r="9" spans="1:11" ht="12.75">
      <c r="A9" s="6" t="s">
        <v>165</v>
      </c>
      <c r="B9" s="7" t="s">
        <v>166</v>
      </c>
      <c r="C9" s="7" t="s">
        <v>1168</v>
      </c>
      <c r="D9" s="7" t="str">
        <f>"0,7800"</f>
        <v>0,7800</v>
      </c>
      <c r="E9" s="8" t="s">
        <v>16</v>
      </c>
      <c r="F9" s="8" t="s">
        <v>17</v>
      </c>
      <c r="G9" s="7" t="s">
        <v>99</v>
      </c>
      <c r="H9" s="9" t="s">
        <v>1169</v>
      </c>
      <c r="I9" s="6" t="s">
        <v>1170</v>
      </c>
      <c r="J9" s="7" t="str">
        <f>"2246,3999"</f>
        <v>2246,3999</v>
      </c>
      <c r="K9" s="8" t="s">
        <v>21</v>
      </c>
    </row>
    <row r="11" spans="1:10" ht="15.75">
      <c r="A11" s="33" t="s">
        <v>214</v>
      </c>
      <c r="B11" s="34"/>
      <c r="C11" s="34"/>
      <c r="D11" s="34"/>
      <c r="E11" s="34"/>
      <c r="F11" s="34"/>
      <c r="G11" s="34"/>
      <c r="H11" s="34"/>
      <c r="I11" s="33"/>
      <c r="J11" s="34"/>
    </row>
    <row r="12" spans="1:11" ht="12.75">
      <c r="A12" s="6" t="s">
        <v>1171</v>
      </c>
      <c r="B12" s="7" t="s">
        <v>1172</v>
      </c>
      <c r="C12" s="7" t="s">
        <v>1173</v>
      </c>
      <c r="D12" s="7" t="str">
        <f>"0,7193"</f>
        <v>0,7193</v>
      </c>
      <c r="E12" s="8" t="s">
        <v>507</v>
      </c>
      <c r="F12" s="8" t="s">
        <v>507</v>
      </c>
      <c r="G12" s="7" t="s">
        <v>110</v>
      </c>
      <c r="H12" s="9" t="s">
        <v>1169</v>
      </c>
      <c r="I12" s="6" t="s">
        <v>1174</v>
      </c>
      <c r="J12" s="7" t="str">
        <f>"2330,5319"</f>
        <v>2330,5319</v>
      </c>
      <c r="K12" s="8" t="s">
        <v>21</v>
      </c>
    </row>
    <row r="14" spans="1:10" ht="15.75">
      <c r="A14" s="33" t="s">
        <v>259</v>
      </c>
      <c r="B14" s="34"/>
      <c r="C14" s="34"/>
      <c r="D14" s="34"/>
      <c r="E14" s="34"/>
      <c r="F14" s="34"/>
      <c r="G14" s="34"/>
      <c r="H14" s="34"/>
      <c r="I14" s="33"/>
      <c r="J14" s="34"/>
    </row>
    <row r="15" spans="1:11" ht="12.75">
      <c r="A15" s="11" t="s">
        <v>281</v>
      </c>
      <c r="B15" s="12" t="s">
        <v>1175</v>
      </c>
      <c r="C15" s="12" t="s">
        <v>1176</v>
      </c>
      <c r="D15" s="12" t="str">
        <f>"0,6970"</f>
        <v>0,6970</v>
      </c>
      <c r="E15" s="13" t="s">
        <v>133</v>
      </c>
      <c r="F15" s="13" t="s">
        <v>284</v>
      </c>
      <c r="G15" s="12" t="s">
        <v>115</v>
      </c>
      <c r="H15" s="14" t="s">
        <v>1177</v>
      </c>
      <c r="I15" s="11" t="s">
        <v>1178</v>
      </c>
      <c r="J15" s="12" t="str">
        <f>"2847,2451"</f>
        <v>2847,2451</v>
      </c>
      <c r="K15" s="13" t="s">
        <v>21</v>
      </c>
    </row>
    <row r="16" spans="1:11" ht="12.75">
      <c r="A16" s="19" t="s">
        <v>267</v>
      </c>
      <c r="B16" s="20" t="s">
        <v>268</v>
      </c>
      <c r="C16" s="20" t="s">
        <v>1176</v>
      </c>
      <c r="D16" s="20" t="str">
        <f>"0,6970"</f>
        <v>0,6970</v>
      </c>
      <c r="E16" s="21" t="s">
        <v>34</v>
      </c>
      <c r="F16" s="21" t="s">
        <v>35</v>
      </c>
      <c r="G16" s="20" t="s">
        <v>115</v>
      </c>
      <c r="H16" s="22" t="s">
        <v>1179</v>
      </c>
      <c r="I16" s="19" t="s">
        <v>1180</v>
      </c>
      <c r="J16" s="20" t="str">
        <f>"1920,2351"</f>
        <v>1920,2351</v>
      </c>
      <c r="K16" s="21" t="s">
        <v>21</v>
      </c>
    </row>
    <row r="17" spans="1:11" ht="12.75">
      <c r="A17" s="15" t="s">
        <v>1181</v>
      </c>
      <c r="B17" s="16" t="s">
        <v>1182</v>
      </c>
      <c r="C17" s="16" t="s">
        <v>1183</v>
      </c>
      <c r="D17" s="16" t="str">
        <f>"0,7285"</f>
        <v>0,7285</v>
      </c>
      <c r="E17" s="17" t="s">
        <v>133</v>
      </c>
      <c r="F17" s="17" t="s">
        <v>160</v>
      </c>
      <c r="G17" s="16" t="s">
        <v>508</v>
      </c>
      <c r="H17" s="18" t="s">
        <v>1166</v>
      </c>
      <c r="I17" s="15" t="s">
        <v>1184</v>
      </c>
      <c r="J17" s="16" t="str">
        <f>"1482,4975"</f>
        <v>1482,4975</v>
      </c>
      <c r="K17" s="17" t="s">
        <v>21</v>
      </c>
    </row>
    <row r="19" spans="1:10" ht="15.75">
      <c r="A19" s="33" t="s">
        <v>286</v>
      </c>
      <c r="B19" s="34"/>
      <c r="C19" s="34"/>
      <c r="D19" s="34"/>
      <c r="E19" s="34"/>
      <c r="F19" s="34"/>
      <c r="G19" s="34"/>
      <c r="H19" s="34"/>
      <c r="I19" s="33"/>
      <c r="J19" s="34"/>
    </row>
    <row r="20" spans="1:11" ht="12.75">
      <c r="A20" s="6" t="s">
        <v>295</v>
      </c>
      <c r="B20" s="7" t="s">
        <v>1185</v>
      </c>
      <c r="C20" s="7" t="s">
        <v>1186</v>
      </c>
      <c r="D20" s="7" t="str">
        <f>"0,6800"</f>
        <v>0,6800</v>
      </c>
      <c r="E20" s="8" t="s">
        <v>298</v>
      </c>
      <c r="F20" s="8" t="s">
        <v>299</v>
      </c>
      <c r="G20" s="7" t="s">
        <v>204</v>
      </c>
      <c r="H20" s="9" t="s">
        <v>1187</v>
      </c>
      <c r="I20" s="6" t="s">
        <v>1188</v>
      </c>
      <c r="J20" s="7" t="str">
        <f>"1713,6000"</f>
        <v>1713,6000</v>
      </c>
      <c r="K20" s="8" t="s">
        <v>21</v>
      </c>
    </row>
    <row r="22" ht="15.75">
      <c r="E22" s="23" t="s">
        <v>325</v>
      </c>
    </row>
    <row r="23" ht="15.75">
      <c r="E23" s="23" t="s">
        <v>326</v>
      </c>
    </row>
    <row r="24" ht="15.75">
      <c r="E24" s="23" t="s">
        <v>327</v>
      </c>
    </row>
    <row r="25" ht="15.75">
      <c r="E25" s="23" t="s">
        <v>328</v>
      </c>
    </row>
    <row r="26" ht="15.75">
      <c r="E26" s="23" t="s">
        <v>328</v>
      </c>
    </row>
    <row r="27" ht="15.75">
      <c r="E27" s="23" t="s">
        <v>329</v>
      </c>
    </row>
    <row r="28" ht="15.75">
      <c r="E28" s="23"/>
    </row>
    <row r="30" spans="1:2" ht="18">
      <c r="A30" s="24" t="s">
        <v>330</v>
      </c>
      <c r="B30" s="25"/>
    </row>
    <row r="31" spans="1:2" ht="15.75">
      <c r="A31" s="26" t="s">
        <v>352</v>
      </c>
      <c r="B31" s="10"/>
    </row>
    <row r="32" spans="1:2" ht="13.5">
      <c r="A32" s="28"/>
      <c r="B32" s="29" t="s">
        <v>332</v>
      </c>
    </row>
    <row r="33" spans="1:5" ht="13.5">
      <c r="A33" s="30" t="s">
        <v>333</v>
      </c>
      <c r="B33" s="30" t="s">
        <v>334</v>
      </c>
      <c r="C33" s="30" t="s">
        <v>335</v>
      </c>
      <c r="D33" s="30" t="s">
        <v>336</v>
      </c>
      <c r="E33" s="30" t="s">
        <v>1087</v>
      </c>
    </row>
    <row r="34" spans="1:5" ht="12.75">
      <c r="A34" s="27" t="s">
        <v>281</v>
      </c>
      <c r="B34" s="1" t="s">
        <v>332</v>
      </c>
      <c r="C34" s="1" t="s">
        <v>363</v>
      </c>
      <c r="D34" s="1" t="s">
        <v>1189</v>
      </c>
      <c r="E34" s="4" t="s">
        <v>1190</v>
      </c>
    </row>
    <row r="35" spans="1:5" ht="12.75">
      <c r="A35" s="27" t="s">
        <v>1171</v>
      </c>
      <c r="B35" s="1" t="s">
        <v>332</v>
      </c>
      <c r="C35" s="1" t="s">
        <v>370</v>
      </c>
      <c r="D35" s="1" t="s">
        <v>1191</v>
      </c>
      <c r="E35" s="4" t="s">
        <v>1192</v>
      </c>
    </row>
    <row r="36" spans="1:5" ht="12.75">
      <c r="A36" s="27" t="s">
        <v>165</v>
      </c>
      <c r="B36" s="1" t="s">
        <v>332</v>
      </c>
      <c r="C36" s="1" t="s">
        <v>368</v>
      </c>
      <c r="D36" s="1" t="s">
        <v>1193</v>
      </c>
      <c r="E36" s="4" t="s">
        <v>1194</v>
      </c>
    </row>
    <row r="37" spans="1:5" ht="12.75">
      <c r="A37" s="27" t="s">
        <v>267</v>
      </c>
      <c r="B37" s="1" t="s">
        <v>332</v>
      </c>
      <c r="C37" s="1" t="s">
        <v>363</v>
      </c>
      <c r="D37" s="1" t="s">
        <v>1195</v>
      </c>
      <c r="E37" s="4" t="s">
        <v>1196</v>
      </c>
    </row>
    <row r="38" spans="1:5" ht="12.75">
      <c r="A38" s="27" t="s">
        <v>295</v>
      </c>
      <c r="B38" s="1" t="s">
        <v>332</v>
      </c>
      <c r="C38" s="1" t="s">
        <v>379</v>
      </c>
      <c r="D38" s="1" t="s">
        <v>1197</v>
      </c>
      <c r="E38" s="4" t="s">
        <v>1198</v>
      </c>
    </row>
    <row r="39" spans="1:5" ht="12.75">
      <c r="A39" s="27" t="s">
        <v>1181</v>
      </c>
      <c r="B39" s="1" t="s">
        <v>332</v>
      </c>
      <c r="C39" s="1" t="s">
        <v>363</v>
      </c>
      <c r="D39" s="1" t="s">
        <v>1199</v>
      </c>
      <c r="E39" s="4" t="s">
        <v>1200</v>
      </c>
    </row>
    <row r="40" spans="1:5" ht="12.75">
      <c r="A40" s="27" t="s">
        <v>1163</v>
      </c>
      <c r="B40" s="1" t="s">
        <v>332</v>
      </c>
      <c r="C40" s="1" t="s">
        <v>392</v>
      </c>
      <c r="D40" s="1" t="s">
        <v>1201</v>
      </c>
      <c r="E40" s="4" t="s">
        <v>1202</v>
      </c>
    </row>
  </sheetData>
  <sheetProtection/>
  <mergeCells count="16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J5"/>
    <mergeCell ref="A8:J8"/>
    <mergeCell ref="A11:J11"/>
    <mergeCell ref="A14:J14"/>
    <mergeCell ref="A19:J19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workbookViewId="0" topLeftCell="A5">
      <selection activeCell="A1" sqref="A1:K2"/>
    </sheetView>
  </sheetViews>
  <sheetFormatPr defaultColWidth="9.125" defaultRowHeight="12.75"/>
  <cols>
    <col min="1" max="1" width="28.25390625" style="4" bestFit="1" customWidth="1"/>
    <col min="2" max="2" width="24.00390625" style="1" bestFit="1" customWidth="1"/>
    <col min="3" max="3" width="10.625" style="1" bestFit="1" customWidth="1"/>
    <col min="4" max="4" width="10.75390625" style="1" bestFit="1" customWidth="1"/>
    <col min="5" max="5" width="22.75390625" style="5" bestFit="1" customWidth="1"/>
    <col min="6" max="6" width="24.375" style="5" bestFit="1" customWidth="1"/>
    <col min="7" max="7" width="4.625" style="1" bestFit="1" customWidth="1"/>
    <col min="8" max="8" width="5.625" style="1" bestFit="1" customWidth="1"/>
    <col min="9" max="9" width="7.875" style="4" bestFit="1" customWidth="1"/>
    <col min="10" max="10" width="9.625" style="1" bestFit="1" customWidth="1"/>
    <col min="11" max="11" width="8.875" style="5" bestFit="1" customWidth="1"/>
    <col min="12" max="16384" width="9.125" style="1" customWidth="1"/>
  </cols>
  <sheetData>
    <row r="1" spans="1:11" ht="15" customHeight="1">
      <c r="A1" s="39" t="s">
        <v>1108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66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2" customFormat="1" ht="12.75" customHeight="1">
      <c r="A3" s="45" t="s">
        <v>0</v>
      </c>
      <c r="B3" s="47" t="s">
        <v>9</v>
      </c>
      <c r="C3" s="37" t="s">
        <v>3</v>
      </c>
      <c r="D3" s="37" t="s">
        <v>1050</v>
      </c>
      <c r="E3" s="37" t="s">
        <v>6</v>
      </c>
      <c r="F3" s="37" t="s">
        <v>8</v>
      </c>
      <c r="G3" s="37" t="s">
        <v>1</v>
      </c>
      <c r="H3" s="37"/>
      <c r="I3" s="37" t="s">
        <v>2</v>
      </c>
      <c r="J3" s="37" t="s">
        <v>5</v>
      </c>
      <c r="K3" s="48" t="s">
        <v>4</v>
      </c>
    </row>
    <row r="4" spans="1:11" s="2" customFormat="1" ht="21" customHeight="1" thickBot="1">
      <c r="A4" s="46"/>
      <c r="B4" s="38"/>
      <c r="C4" s="38"/>
      <c r="D4" s="38"/>
      <c r="E4" s="38"/>
      <c r="F4" s="38"/>
      <c r="G4" s="3">
        <v>1</v>
      </c>
      <c r="H4" s="3">
        <v>2</v>
      </c>
      <c r="I4" s="38"/>
      <c r="J4" s="38"/>
      <c r="K4" s="49"/>
    </row>
    <row r="5" spans="1:10" ht="15.75">
      <c r="A5" s="35" t="s">
        <v>466</v>
      </c>
      <c r="B5" s="36"/>
      <c r="C5" s="36"/>
      <c r="D5" s="36"/>
      <c r="E5" s="36"/>
      <c r="F5" s="36"/>
      <c r="G5" s="36"/>
      <c r="H5" s="36"/>
      <c r="I5" s="35"/>
      <c r="J5" s="36"/>
    </row>
    <row r="6" spans="1:11" ht="12.75">
      <c r="A6" s="6" t="s">
        <v>1109</v>
      </c>
      <c r="B6" s="7" t="s">
        <v>1110</v>
      </c>
      <c r="C6" s="7" t="s">
        <v>1111</v>
      </c>
      <c r="D6" s="7" t="str">
        <f>"1,7600"</f>
        <v>1,7600</v>
      </c>
      <c r="E6" s="8" t="s">
        <v>499</v>
      </c>
      <c r="F6" s="8" t="s">
        <v>500</v>
      </c>
      <c r="G6" s="7" t="s">
        <v>1112</v>
      </c>
      <c r="H6" s="9" t="s">
        <v>450</v>
      </c>
      <c r="I6" s="6" t="s">
        <v>1113</v>
      </c>
      <c r="J6" s="7" t="str">
        <f>"4840,0000"</f>
        <v>4840,0000</v>
      </c>
      <c r="K6" s="8" t="s">
        <v>21</v>
      </c>
    </row>
    <row r="8" spans="1:10" ht="15.75">
      <c r="A8" s="33" t="s">
        <v>12</v>
      </c>
      <c r="B8" s="34"/>
      <c r="C8" s="34"/>
      <c r="D8" s="34"/>
      <c r="E8" s="34"/>
      <c r="F8" s="34"/>
      <c r="G8" s="34"/>
      <c r="H8" s="34"/>
      <c r="I8" s="33"/>
      <c r="J8" s="34"/>
    </row>
    <row r="9" spans="1:11" ht="12.75">
      <c r="A9" s="6" t="s">
        <v>1114</v>
      </c>
      <c r="B9" s="7" t="s">
        <v>1115</v>
      </c>
      <c r="C9" s="7" t="s">
        <v>1116</v>
      </c>
      <c r="D9" s="7" t="str">
        <f>"1,0221"</f>
        <v>1,0221</v>
      </c>
      <c r="E9" s="8" t="s">
        <v>499</v>
      </c>
      <c r="F9" s="8" t="s">
        <v>500</v>
      </c>
      <c r="G9" s="7" t="s">
        <v>81</v>
      </c>
      <c r="H9" s="9" t="s">
        <v>1117</v>
      </c>
      <c r="I9" s="6" t="s">
        <v>1118</v>
      </c>
      <c r="J9" s="7" t="str">
        <f>"528,9367"</f>
        <v>528,9367</v>
      </c>
      <c r="K9" s="8" t="s">
        <v>21</v>
      </c>
    </row>
    <row r="11" spans="1:10" ht="15.75">
      <c r="A11" s="33" t="s">
        <v>38</v>
      </c>
      <c r="B11" s="34"/>
      <c r="C11" s="34"/>
      <c r="D11" s="34"/>
      <c r="E11" s="34"/>
      <c r="F11" s="34"/>
      <c r="G11" s="34"/>
      <c r="H11" s="34"/>
      <c r="I11" s="33"/>
      <c r="J11" s="34"/>
    </row>
    <row r="12" spans="1:11" ht="12.75">
      <c r="A12" s="6" t="s">
        <v>1119</v>
      </c>
      <c r="B12" s="7" t="s">
        <v>1120</v>
      </c>
      <c r="C12" s="7" t="s">
        <v>1121</v>
      </c>
      <c r="D12" s="7" t="str">
        <f>"0,9428"</f>
        <v>0,9428</v>
      </c>
      <c r="E12" s="8" t="s">
        <v>34</v>
      </c>
      <c r="F12" s="8" t="s">
        <v>35</v>
      </c>
      <c r="G12" s="7" t="s">
        <v>1122</v>
      </c>
      <c r="H12" s="9" t="s">
        <v>1123</v>
      </c>
      <c r="I12" s="6" t="s">
        <v>1124</v>
      </c>
      <c r="J12" s="7" t="str">
        <f>"1322,2770"</f>
        <v>1322,2770</v>
      </c>
      <c r="K12" s="8" t="s">
        <v>21</v>
      </c>
    </row>
    <row r="14" spans="1:10" ht="15.75">
      <c r="A14" s="33" t="s">
        <v>22</v>
      </c>
      <c r="B14" s="34"/>
      <c r="C14" s="34"/>
      <c r="D14" s="34"/>
      <c r="E14" s="34"/>
      <c r="F14" s="34"/>
      <c r="G14" s="34"/>
      <c r="H14" s="34"/>
      <c r="I14" s="33"/>
      <c r="J14" s="34"/>
    </row>
    <row r="15" spans="1:11" ht="12.75">
      <c r="A15" s="6" t="s">
        <v>1125</v>
      </c>
      <c r="B15" s="7" t="s">
        <v>1126</v>
      </c>
      <c r="C15" s="7" t="s">
        <v>1127</v>
      </c>
      <c r="D15" s="7" t="str">
        <f>"1,3775"</f>
        <v>1,3775</v>
      </c>
      <c r="E15" s="8" t="s">
        <v>499</v>
      </c>
      <c r="F15" s="8" t="s">
        <v>500</v>
      </c>
      <c r="G15" s="7" t="s">
        <v>52</v>
      </c>
      <c r="H15" s="9" t="s">
        <v>1128</v>
      </c>
      <c r="I15" s="6" t="s">
        <v>1129</v>
      </c>
      <c r="J15" s="7" t="str">
        <f>"1294,8501"</f>
        <v>1294,8501</v>
      </c>
      <c r="K15" s="8" t="s">
        <v>21</v>
      </c>
    </row>
    <row r="17" spans="1:10" ht="15.75">
      <c r="A17" s="33" t="s">
        <v>56</v>
      </c>
      <c r="B17" s="34"/>
      <c r="C17" s="34"/>
      <c r="D17" s="34"/>
      <c r="E17" s="34"/>
      <c r="F17" s="34"/>
      <c r="G17" s="34"/>
      <c r="H17" s="34"/>
      <c r="I17" s="33"/>
      <c r="J17" s="34"/>
    </row>
    <row r="18" spans="1:11" ht="12.75">
      <c r="A18" s="6" t="s">
        <v>1130</v>
      </c>
      <c r="B18" s="7" t="s">
        <v>1131</v>
      </c>
      <c r="C18" s="7" t="s">
        <v>1132</v>
      </c>
      <c r="D18" s="7" t="str">
        <f>"0,9681"</f>
        <v>0,9681</v>
      </c>
      <c r="E18" s="8" t="s">
        <v>499</v>
      </c>
      <c r="F18" s="8" t="s">
        <v>500</v>
      </c>
      <c r="G18" s="7" t="s">
        <v>54</v>
      </c>
      <c r="H18" s="9" t="s">
        <v>1133</v>
      </c>
      <c r="I18" s="6" t="s">
        <v>1134</v>
      </c>
      <c r="J18" s="7" t="str">
        <f>"2671,9560"</f>
        <v>2671,9560</v>
      </c>
      <c r="K18" s="8" t="s">
        <v>21</v>
      </c>
    </row>
    <row r="20" spans="1:10" ht="15.75">
      <c r="A20" s="33" t="s">
        <v>103</v>
      </c>
      <c r="B20" s="34"/>
      <c r="C20" s="34"/>
      <c r="D20" s="34"/>
      <c r="E20" s="34"/>
      <c r="F20" s="34"/>
      <c r="G20" s="34"/>
      <c r="H20" s="34"/>
      <c r="I20" s="33"/>
      <c r="J20" s="34"/>
    </row>
    <row r="21" spans="1:11" ht="12.75">
      <c r="A21" s="6" t="s">
        <v>1135</v>
      </c>
      <c r="B21" s="7" t="s">
        <v>1136</v>
      </c>
      <c r="C21" s="7" t="s">
        <v>1137</v>
      </c>
      <c r="D21" s="7" t="str">
        <f>"0,8812"</f>
        <v>0,8812</v>
      </c>
      <c r="E21" s="8" t="s">
        <v>499</v>
      </c>
      <c r="F21" s="8" t="s">
        <v>500</v>
      </c>
      <c r="G21" s="7" t="s">
        <v>1138</v>
      </c>
      <c r="H21" s="9" t="s">
        <v>1139</v>
      </c>
      <c r="I21" s="6" t="s">
        <v>1140</v>
      </c>
      <c r="J21" s="7" t="str">
        <f>"1317,3940"</f>
        <v>1317,3940</v>
      </c>
      <c r="K21" s="8" t="s">
        <v>21</v>
      </c>
    </row>
    <row r="23" spans="1:10" ht="15.75">
      <c r="A23" s="33" t="s">
        <v>129</v>
      </c>
      <c r="B23" s="34"/>
      <c r="C23" s="34"/>
      <c r="D23" s="34"/>
      <c r="E23" s="34"/>
      <c r="F23" s="34"/>
      <c r="G23" s="34"/>
      <c r="H23" s="34"/>
      <c r="I23" s="33"/>
      <c r="J23" s="34"/>
    </row>
    <row r="24" spans="1:11" ht="12.75">
      <c r="A24" s="6" t="s">
        <v>1141</v>
      </c>
      <c r="B24" s="7" t="s">
        <v>1142</v>
      </c>
      <c r="C24" s="7" t="s">
        <v>1143</v>
      </c>
      <c r="D24" s="7" t="str">
        <f>"0,8361"</f>
        <v>0,8361</v>
      </c>
      <c r="E24" s="8" t="s">
        <v>499</v>
      </c>
      <c r="F24" s="8" t="s">
        <v>500</v>
      </c>
      <c r="G24" s="7" t="s">
        <v>1144</v>
      </c>
      <c r="H24" s="9" t="s">
        <v>1145</v>
      </c>
      <c r="I24" s="6" t="s">
        <v>1146</v>
      </c>
      <c r="J24" s="7" t="str">
        <f>"2132,0550"</f>
        <v>2132,0550</v>
      </c>
      <c r="K24" s="8" t="s">
        <v>21</v>
      </c>
    </row>
    <row r="26" ht="15.75">
      <c r="E26" s="23" t="s">
        <v>325</v>
      </c>
    </row>
    <row r="27" ht="15.75">
      <c r="E27" s="23" t="s">
        <v>326</v>
      </c>
    </row>
    <row r="28" ht="15.75">
      <c r="E28" s="23" t="s">
        <v>327</v>
      </c>
    </row>
    <row r="29" ht="15.75">
      <c r="E29" s="23" t="s">
        <v>328</v>
      </c>
    </row>
    <row r="30" ht="15.75">
      <c r="E30" s="23" t="s">
        <v>328</v>
      </c>
    </row>
    <row r="31" ht="15.75">
      <c r="E31" s="23" t="s">
        <v>329</v>
      </c>
    </row>
    <row r="32" ht="15.75">
      <c r="E32" s="23"/>
    </row>
    <row r="34" spans="1:2" ht="18">
      <c r="A34" s="24" t="s">
        <v>330</v>
      </c>
      <c r="B34" s="25"/>
    </row>
    <row r="35" spans="1:2" ht="15.75">
      <c r="A35" s="26" t="s">
        <v>331</v>
      </c>
      <c r="B35" s="10"/>
    </row>
    <row r="36" spans="1:2" ht="13.5">
      <c r="A36" s="28"/>
      <c r="B36" s="29" t="s">
        <v>332</v>
      </c>
    </row>
    <row r="37" spans="1:5" ht="13.5">
      <c r="A37" s="30" t="s">
        <v>333</v>
      </c>
      <c r="B37" s="30" t="s">
        <v>334</v>
      </c>
      <c r="C37" s="30" t="s">
        <v>335</v>
      </c>
      <c r="D37" s="30" t="s">
        <v>336</v>
      </c>
      <c r="E37" s="30" t="s">
        <v>1087</v>
      </c>
    </row>
    <row r="38" spans="1:5" ht="12.75">
      <c r="A38" s="27" t="s">
        <v>1109</v>
      </c>
      <c r="B38" s="1" t="s">
        <v>332</v>
      </c>
      <c r="C38" s="1" t="s">
        <v>628</v>
      </c>
      <c r="D38" s="1" t="s">
        <v>1147</v>
      </c>
      <c r="E38" s="4" t="s">
        <v>1148</v>
      </c>
    </row>
    <row r="39" spans="1:5" ht="12.75">
      <c r="A39" s="27" t="s">
        <v>1119</v>
      </c>
      <c r="B39" s="1" t="s">
        <v>332</v>
      </c>
      <c r="C39" s="1" t="s">
        <v>344</v>
      </c>
      <c r="D39" s="1" t="s">
        <v>1149</v>
      </c>
      <c r="E39" s="4" t="s">
        <v>1150</v>
      </c>
    </row>
    <row r="40" spans="1:5" ht="12.75">
      <c r="A40" s="27" t="s">
        <v>1114</v>
      </c>
      <c r="B40" s="1" t="s">
        <v>332</v>
      </c>
      <c r="C40" s="1" t="s">
        <v>342</v>
      </c>
      <c r="D40" s="1" t="s">
        <v>1151</v>
      </c>
      <c r="E40" s="4" t="s">
        <v>1152</v>
      </c>
    </row>
    <row r="43" spans="1:2" ht="15.75">
      <c r="A43" s="26" t="s">
        <v>352</v>
      </c>
      <c r="B43" s="10"/>
    </row>
    <row r="44" spans="1:2" ht="13.5">
      <c r="A44" s="28"/>
      <c r="B44" s="29" t="s">
        <v>353</v>
      </c>
    </row>
    <row r="45" spans="1:5" ht="13.5">
      <c r="A45" s="30" t="s">
        <v>333</v>
      </c>
      <c r="B45" s="30" t="s">
        <v>334</v>
      </c>
      <c r="C45" s="30" t="s">
        <v>335</v>
      </c>
      <c r="D45" s="30" t="s">
        <v>336</v>
      </c>
      <c r="E45" s="30" t="s">
        <v>1087</v>
      </c>
    </row>
    <row r="46" spans="1:5" ht="12.75">
      <c r="A46" s="27" t="s">
        <v>1130</v>
      </c>
      <c r="B46" s="1" t="s">
        <v>1153</v>
      </c>
      <c r="C46" s="1" t="s">
        <v>340</v>
      </c>
      <c r="D46" s="1" t="s">
        <v>1154</v>
      </c>
      <c r="E46" s="4" t="s">
        <v>1155</v>
      </c>
    </row>
    <row r="47" spans="1:5" ht="12.75">
      <c r="A47" s="27" t="s">
        <v>1141</v>
      </c>
      <c r="B47" s="1" t="s">
        <v>1153</v>
      </c>
      <c r="C47" s="1" t="s">
        <v>392</v>
      </c>
      <c r="D47" s="1" t="s">
        <v>1156</v>
      </c>
      <c r="E47" s="4" t="s">
        <v>1157</v>
      </c>
    </row>
    <row r="48" spans="1:5" ht="12.75">
      <c r="A48" s="27" t="s">
        <v>1135</v>
      </c>
      <c r="B48" s="1" t="s">
        <v>1153</v>
      </c>
      <c r="C48" s="1" t="s">
        <v>355</v>
      </c>
      <c r="D48" s="1" t="s">
        <v>1158</v>
      </c>
      <c r="E48" s="4" t="s">
        <v>1159</v>
      </c>
    </row>
    <row r="49" spans="1:5" ht="12.75">
      <c r="A49" s="27" t="s">
        <v>1125</v>
      </c>
      <c r="B49" s="1" t="s">
        <v>1153</v>
      </c>
      <c r="C49" s="1" t="s">
        <v>338</v>
      </c>
      <c r="D49" s="1" t="s">
        <v>1160</v>
      </c>
      <c r="E49" s="4" t="s">
        <v>1161</v>
      </c>
    </row>
  </sheetData>
  <sheetProtection/>
  <mergeCells count="18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A20:J20"/>
    <mergeCell ref="A23:J23"/>
    <mergeCell ref="K3:K4"/>
    <mergeCell ref="A5:J5"/>
    <mergeCell ref="A8:J8"/>
    <mergeCell ref="A11:J11"/>
    <mergeCell ref="A14:J14"/>
    <mergeCell ref="A17:J17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workbookViewId="0" topLeftCell="A1">
      <selection activeCell="A21" sqref="A21:T21"/>
    </sheetView>
  </sheetViews>
  <sheetFormatPr defaultColWidth="9.125" defaultRowHeight="12.75"/>
  <cols>
    <col min="1" max="1" width="25.875" style="4" bestFit="1" customWidth="1"/>
    <col min="2" max="2" width="25.25390625" style="1" bestFit="1" customWidth="1"/>
    <col min="3" max="3" width="6.875" style="1" bestFit="1" customWidth="1"/>
    <col min="4" max="4" width="6.625" style="1" bestFit="1" customWidth="1"/>
    <col min="5" max="5" width="23.75390625" style="5" bestFit="1" customWidth="1"/>
    <col min="6" max="6" width="21.125" style="5" bestFit="1" customWidth="1"/>
    <col min="7" max="7" width="5.625" style="1" bestFit="1" customWidth="1"/>
    <col min="8" max="8" width="7.00390625" style="1" customWidth="1"/>
    <col min="9" max="9" width="6.25390625" style="1" bestFit="1" customWidth="1"/>
    <col min="10" max="10" width="5.625" style="1" bestFit="1" customWidth="1"/>
    <col min="11" max="13" width="7.00390625" style="1" bestFit="1" customWidth="1"/>
    <col min="14" max="14" width="5.625" style="1" bestFit="1" customWidth="1"/>
    <col min="15" max="16" width="7.00390625" style="1" bestFit="1" customWidth="1"/>
    <col min="17" max="17" width="6.25390625" style="1" bestFit="1" customWidth="1"/>
    <col min="18" max="18" width="5.625" style="1" bestFit="1" customWidth="1"/>
    <col min="19" max="19" width="7.875" style="4" bestFit="1" customWidth="1"/>
    <col min="20" max="20" width="8.625" style="1" bestFit="1" customWidth="1"/>
    <col min="21" max="21" width="23.00390625" style="5" bestFit="1" customWidth="1"/>
    <col min="22" max="16384" width="9.125" style="1" customWidth="1"/>
  </cols>
  <sheetData>
    <row r="1" spans="1:21" ht="15" customHeight="1">
      <c r="A1" s="39" t="s">
        <v>417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ht="66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2" customFormat="1" ht="12.75" customHeight="1">
      <c r="A3" s="45" t="s">
        <v>0</v>
      </c>
      <c r="B3" s="47" t="s">
        <v>9</v>
      </c>
      <c r="C3" s="37" t="s">
        <v>3</v>
      </c>
      <c r="D3" s="37" t="s">
        <v>11</v>
      </c>
      <c r="E3" s="37" t="s">
        <v>6</v>
      </c>
      <c r="F3" s="37" t="s">
        <v>8</v>
      </c>
      <c r="G3" s="37" t="s">
        <v>418</v>
      </c>
      <c r="H3" s="37"/>
      <c r="I3" s="37"/>
      <c r="J3" s="37"/>
      <c r="K3" s="37" t="s">
        <v>1</v>
      </c>
      <c r="L3" s="37"/>
      <c r="M3" s="37"/>
      <c r="N3" s="37"/>
      <c r="O3" s="37" t="s">
        <v>419</v>
      </c>
      <c r="P3" s="37"/>
      <c r="Q3" s="37"/>
      <c r="R3" s="37"/>
      <c r="S3" s="37" t="s">
        <v>2</v>
      </c>
      <c r="T3" s="37" t="s">
        <v>5</v>
      </c>
      <c r="U3" s="48" t="s">
        <v>4</v>
      </c>
    </row>
    <row r="4" spans="1:21" s="2" customFormat="1" ht="21" customHeight="1" thickBot="1">
      <c r="A4" s="46"/>
      <c r="B4" s="38"/>
      <c r="C4" s="38"/>
      <c r="D4" s="38"/>
      <c r="E4" s="38"/>
      <c r="F4" s="38"/>
      <c r="G4" s="3">
        <v>1</v>
      </c>
      <c r="H4" s="3">
        <v>2</v>
      </c>
      <c r="I4" s="3">
        <v>3</v>
      </c>
      <c r="J4" s="3" t="s">
        <v>7</v>
      </c>
      <c r="K4" s="3">
        <v>1</v>
      </c>
      <c r="L4" s="3">
        <v>2</v>
      </c>
      <c r="M4" s="3">
        <v>3</v>
      </c>
      <c r="N4" s="3" t="s">
        <v>7</v>
      </c>
      <c r="O4" s="3">
        <v>1</v>
      </c>
      <c r="P4" s="3">
        <v>2</v>
      </c>
      <c r="Q4" s="3">
        <v>3</v>
      </c>
      <c r="R4" s="3" t="s">
        <v>7</v>
      </c>
      <c r="S4" s="38"/>
      <c r="T4" s="38"/>
      <c r="U4" s="49"/>
    </row>
    <row r="5" spans="1:20" ht="15.75">
      <c r="A5" s="35" t="s">
        <v>56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5"/>
      <c r="T5" s="36"/>
    </row>
    <row r="6" spans="1:21" ht="12.75">
      <c r="A6" s="6" t="s">
        <v>420</v>
      </c>
      <c r="B6" s="7" t="s">
        <v>421</v>
      </c>
      <c r="C6" s="7" t="s">
        <v>422</v>
      </c>
      <c r="D6" s="7" t="str">
        <f>"0,8609"</f>
        <v>0,8609</v>
      </c>
      <c r="E6" s="8" t="s">
        <v>125</v>
      </c>
      <c r="F6" s="8" t="s">
        <v>126</v>
      </c>
      <c r="G6" s="9"/>
      <c r="H6" s="9"/>
      <c r="I6" s="9"/>
      <c r="J6" s="9"/>
      <c r="K6" s="7" t="s">
        <v>143</v>
      </c>
      <c r="L6" s="9" t="s">
        <v>136</v>
      </c>
      <c r="M6" s="9" t="s">
        <v>136</v>
      </c>
      <c r="N6" s="9"/>
      <c r="O6" s="9"/>
      <c r="P6" s="9"/>
      <c r="Q6" s="9"/>
      <c r="R6" s="9"/>
      <c r="S6" s="6" t="s">
        <v>144</v>
      </c>
      <c r="T6" s="7" t="str">
        <f>"88,6727"</f>
        <v>88,6727</v>
      </c>
      <c r="U6" s="8" t="s">
        <v>21</v>
      </c>
    </row>
    <row r="8" spans="1:20" ht="15.75">
      <c r="A8" s="33" t="s">
        <v>56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3"/>
      <c r="T8" s="34"/>
    </row>
    <row r="9" spans="1:21" ht="12.75">
      <c r="A9" s="6" t="s">
        <v>94</v>
      </c>
      <c r="B9" s="7" t="s">
        <v>95</v>
      </c>
      <c r="C9" s="7" t="s">
        <v>96</v>
      </c>
      <c r="D9" s="7" t="str">
        <f>"0,8213"</f>
        <v>0,8213</v>
      </c>
      <c r="E9" s="8" t="s">
        <v>97</v>
      </c>
      <c r="F9" s="8" t="s">
        <v>98</v>
      </c>
      <c r="G9" s="9"/>
      <c r="H9" s="9"/>
      <c r="I9" s="9"/>
      <c r="J9" s="9"/>
      <c r="K9" s="7" t="s">
        <v>100</v>
      </c>
      <c r="L9" s="7" t="s">
        <v>110</v>
      </c>
      <c r="M9" s="7" t="s">
        <v>115</v>
      </c>
      <c r="N9" s="9"/>
      <c r="O9" s="9"/>
      <c r="P9" s="9"/>
      <c r="Q9" s="9"/>
      <c r="R9" s="9"/>
      <c r="S9" s="6" t="s">
        <v>423</v>
      </c>
      <c r="T9" s="7" t="str">
        <f>"94,3304"</f>
        <v>94,3304</v>
      </c>
      <c r="U9" s="8" t="s">
        <v>21</v>
      </c>
    </row>
    <row r="11" spans="1:20" ht="15.75">
      <c r="A11" s="33" t="s">
        <v>129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3"/>
      <c r="T11" s="34"/>
    </row>
    <row r="12" spans="1:21" ht="12.75">
      <c r="A12" s="6" t="s">
        <v>424</v>
      </c>
      <c r="B12" s="7" t="s">
        <v>425</v>
      </c>
      <c r="C12" s="7" t="s">
        <v>426</v>
      </c>
      <c r="D12" s="7" t="str">
        <f>"0,6760"</f>
        <v>0,6760</v>
      </c>
      <c r="E12" s="8" t="s">
        <v>307</v>
      </c>
      <c r="F12" s="8" t="s">
        <v>308</v>
      </c>
      <c r="G12" s="9" t="s">
        <v>82</v>
      </c>
      <c r="H12" s="9"/>
      <c r="I12" s="9"/>
      <c r="J12" s="9"/>
      <c r="K12" s="7" t="s">
        <v>163</v>
      </c>
      <c r="L12" s="7" t="s">
        <v>427</v>
      </c>
      <c r="M12" s="7" t="s">
        <v>428</v>
      </c>
      <c r="N12" s="9"/>
      <c r="O12" s="9" t="s">
        <v>82</v>
      </c>
      <c r="P12" s="9"/>
      <c r="Q12" s="9"/>
      <c r="R12" s="9"/>
      <c r="S12" s="6" t="s">
        <v>429</v>
      </c>
      <c r="T12" s="7" t="str">
        <f>"135,2000"</f>
        <v>135,2000</v>
      </c>
      <c r="U12" s="8" t="s">
        <v>21</v>
      </c>
    </row>
    <row r="14" spans="1:20" ht="15.75">
      <c r="A14" s="33" t="s">
        <v>150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3"/>
      <c r="T14" s="34"/>
    </row>
    <row r="15" spans="1:21" ht="12.75">
      <c r="A15" s="6" t="s">
        <v>197</v>
      </c>
      <c r="B15" s="7" t="s">
        <v>198</v>
      </c>
      <c r="C15" s="7" t="s">
        <v>199</v>
      </c>
      <c r="D15" s="7" t="str">
        <f>"0,6203"</f>
        <v>0,6203</v>
      </c>
      <c r="E15" s="8" t="s">
        <v>97</v>
      </c>
      <c r="F15" s="8" t="s">
        <v>98</v>
      </c>
      <c r="G15" s="9"/>
      <c r="H15" s="9"/>
      <c r="I15" s="9"/>
      <c r="J15" s="9"/>
      <c r="K15" s="7" t="s">
        <v>161</v>
      </c>
      <c r="L15" s="7" t="s">
        <v>163</v>
      </c>
      <c r="M15" s="7" t="s">
        <v>290</v>
      </c>
      <c r="N15" s="9"/>
      <c r="O15" s="9"/>
      <c r="P15" s="9"/>
      <c r="Q15" s="9"/>
      <c r="R15" s="9"/>
      <c r="S15" s="6" t="s">
        <v>430</v>
      </c>
      <c r="T15" s="7" t="str">
        <f>"138,3765"</f>
        <v>138,3765</v>
      </c>
      <c r="U15" s="8" t="s">
        <v>21</v>
      </c>
    </row>
    <row r="17" spans="1:20" ht="15.75">
      <c r="A17" s="33" t="s">
        <v>214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3"/>
      <c r="T17" s="34"/>
    </row>
    <row r="18" spans="1:21" ht="12.75">
      <c r="A18" s="11" t="s">
        <v>254</v>
      </c>
      <c r="B18" s="12" t="s">
        <v>431</v>
      </c>
      <c r="C18" s="12" t="s">
        <v>256</v>
      </c>
      <c r="D18" s="12" t="str">
        <f>"0,5861"</f>
        <v>0,5861</v>
      </c>
      <c r="E18" s="13" t="s">
        <v>97</v>
      </c>
      <c r="F18" s="13" t="s">
        <v>98</v>
      </c>
      <c r="G18" s="14" t="s">
        <v>82</v>
      </c>
      <c r="H18" s="14"/>
      <c r="I18" s="14"/>
      <c r="J18" s="14"/>
      <c r="K18" s="12" t="s">
        <v>135</v>
      </c>
      <c r="L18" s="12" t="s">
        <v>257</v>
      </c>
      <c r="M18" s="12" t="s">
        <v>91</v>
      </c>
      <c r="N18" s="14"/>
      <c r="O18" s="14" t="s">
        <v>82</v>
      </c>
      <c r="P18" s="14"/>
      <c r="Q18" s="14"/>
      <c r="R18" s="14"/>
      <c r="S18" s="11" t="s">
        <v>93</v>
      </c>
      <c r="T18" s="12" t="str">
        <f>"67,4015"</f>
        <v>67,4015</v>
      </c>
      <c r="U18" s="13" t="s">
        <v>21</v>
      </c>
    </row>
    <row r="19" spans="1:21" ht="12.75">
      <c r="A19" s="15" t="s">
        <v>432</v>
      </c>
      <c r="B19" s="16" t="s">
        <v>433</v>
      </c>
      <c r="C19" s="16" t="s">
        <v>434</v>
      </c>
      <c r="D19" s="16" t="str">
        <f>"0,5873"</f>
        <v>0,5873</v>
      </c>
      <c r="E19" s="17" t="s">
        <v>173</v>
      </c>
      <c r="F19" s="17" t="s">
        <v>174</v>
      </c>
      <c r="G19" s="18"/>
      <c r="H19" s="18"/>
      <c r="I19" s="18"/>
      <c r="J19" s="18"/>
      <c r="K19" s="12" t="s">
        <v>435</v>
      </c>
      <c r="L19" s="12" t="s">
        <v>436</v>
      </c>
      <c r="M19" s="12" t="s">
        <v>437</v>
      </c>
      <c r="N19" s="18"/>
      <c r="O19" s="18"/>
      <c r="P19" s="18"/>
      <c r="Q19" s="18"/>
      <c r="R19" s="18"/>
      <c r="S19" s="15" t="s">
        <v>68</v>
      </c>
      <c r="T19" s="16" t="str">
        <f>"0,0000"</f>
        <v>0,0000</v>
      </c>
      <c r="U19" s="17" t="s">
        <v>21</v>
      </c>
    </row>
    <row r="21" spans="1:20" ht="15.75">
      <c r="A21" s="33" t="s">
        <v>259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3"/>
      <c r="T21" s="34"/>
    </row>
    <row r="22" spans="1:21" ht="12.75">
      <c r="A22" s="11" t="s">
        <v>438</v>
      </c>
      <c r="B22" s="12" t="s">
        <v>439</v>
      </c>
      <c r="C22" s="12" t="s">
        <v>265</v>
      </c>
      <c r="D22" s="12" t="str">
        <f>"0,5553"</f>
        <v>0,5553</v>
      </c>
      <c r="E22" s="13" t="s">
        <v>440</v>
      </c>
      <c r="F22" s="13" t="s">
        <v>441</v>
      </c>
      <c r="G22" s="14"/>
      <c r="H22" s="14"/>
      <c r="I22" s="14"/>
      <c r="J22" s="14"/>
      <c r="K22" s="14" t="s">
        <v>442</v>
      </c>
      <c r="L22" s="12" t="s">
        <v>443</v>
      </c>
      <c r="M22" s="14" t="s">
        <v>436</v>
      </c>
      <c r="N22" s="14"/>
      <c r="O22" s="14"/>
      <c r="P22" s="14"/>
      <c r="Q22" s="14"/>
      <c r="R22" s="14"/>
      <c r="S22" s="11" t="s">
        <v>444</v>
      </c>
      <c r="T22" s="12" t="str">
        <f>"131,8837"</f>
        <v>131,8837</v>
      </c>
      <c r="U22" s="13" t="s">
        <v>21</v>
      </c>
    </row>
    <row r="23" spans="1:21" ht="12.75">
      <c r="A23" s="19" t="s">
        <v>445</v>
      </c>
      <c r="B23" s="20" t="s">
        <v>446</v>
      </c>
      <c r="C23" s="20" t="s">
        <v>447</v>
      </c>
      <c r="D23" s="20" t="str">
        <f>"0,5784"</f>
        <v>0,5784</v>
      </c>
      <c r="E23" s="21" t="s">
        <v>173</v>
      </c>
      <c r="F23" s="21" t="s">
        <v>174</v>
      </c>
      <c r="G23" s="22"/>
      <c r="H23" s="22"/>
      <c r="I23" s="22"/>
      <c r="J23" s="22"/>
      <c r="K23" s="20" t="s">
        <v>448</v>
      </c>
      <c r="L23" s="20" t="s">
        <v>318</v>
      </c>
      <c r="M23" s="22" t="s">
        <v>319</v>
      </c>
      <c r="N23" s="22"/>
      <c r="O23" s="22"/>
      <c r="P23" s="22"/>
      <c r="Q23" s="22"/>
      <c r="R23" s="22"/>
      <c r="S23" s="19" t="s">
        <v>449</v>
      </c>
      <c r="T23" s="20" t="str">
        <f>"118,5720"</f>
        <v>118,5720</v>
      </c>
      <c r="U23" s="21" t="s">
        <v>21</v>
      </c>
    </row>
    <row r="24" spans="1:21" ht="12.75">
      <c r="A24" s="15" t="s">
        <v>276</v>
      </c>
      <c r="B24" s="16" t="s">
        <v>277</v>
      </c>
      <c r="C24" s="16" t="s">
        <v>278</v>
      </c>
      <c r="D24" s="16" t="str">
        <f>"0,5810"</f>
        <v>0,5810</v>
      </c>
      <c r="E24" s="17" t="s">
        <v>141</v>
      </c>
      <c r="F24" s="17" t="s">
        <v>142</v>
      </c>
      <c r="G24" s="18"/>
      <c r="H24" s="18"/>
      <c r="I24" s="18"/>
      <c r="J24" s="18"/>
      <c r="K24" s="16" t="s">
        <v>143</v>
      </c>
      <c r="L24" s="18" t="s">
        <v>82</v>
      </c>
      <c r="M24" s="18" t="s">
        <v>82</v>
      </c>
      <c r="N24" s="18"/>
      <c r="O24" s="18"/>
      <c r="P24" s="18"/>
      <c r="Q24" s="18"/>
      <c r="R24" s="18"/>
      <c r="S24" s="15" t="s">
        <v>144</v>
      </c>
      <c r="T24" s="16" t="str">
        <f>"58,1000"</f>
        <v>58,1000</v>
      </c>
      <c r="U24" s="17" t="s">
        <v>21</v>
      </c>
    </row>
    <row r="26" spans="1:20" ht="15.75">
      <c r="A26" s="33" t="s">
        <v>286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3"/>
      <c r="T26" s="34"/>
    </row>
    <row r="27" spans="1:21" ht="12.75">
      <c r="A27" s="6" t="s">
        <v>295</v>
      </c>
      <c r="B27" s="7" t="s">
        <v>296</v>
      </c>
      <c r="C27" s="7" t="s">
        <v>297</v>
      </c>
      <c r="D27" s="7" t="str">
        <f>"0,5421"</f>
        <v>0,5421</v>
      </c>
      <c r="E27" s="8" t="s">
        <v>298</v>
      </c>
      <c r="F27" s="8" t="s">
        <v>299</v>
      </c>
      <c r="G27" s="9"/>
      <c r="H27" s="9"/>
      <c r="I27" s="9"/>
      <c r="J27" s="9"/>
      <c r="K27" s="7" t="s">
        <v>319</v>
      </c>
      <c r="L27" s="7" t="s">
        <v>450</v>
      </c>
      <c r="M27" s="7" t="s">
        <v>451</v>
      </c>
      <c r="N27" s="9"/>
      <c r="O27" s="9"/>
      <c r="P27" s="9"/>
      <c r="Q27" s="9"/>
      <c r="R27" s="9"/>
      <c r="S27" s="6" t="s">
        <v>452</v>
      </c>
      <c r="T27" s="7" t="str">
        <f>"195,5490"</f>
        <v>195,5490</v>
      </c>
      <c r="U27" s="8" t="s">
        <v>21</v>
      </c>
    </row>
    <row r="29" spans="1:20" ht="15.75">
      <c r="A29" s="33" t="s">
        <v>300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3"/>
      <c r="T29" s="34"/>
    </row>
    <row r="30" spans="1:21" ht="12.75">
      <c r="A30" s="11" t="s">
        <v>453</v>
      </c>
      <c r="B30" s="12" t="s">
        <v>454</v>
      </c>
      <c r="C30" s="12" t="s">
        <v>455</v>
      </c>
      <c r="D30" s="12" t="str">
        <f>"0,5354"</f>
        <v>0,5354</v>
      </c>
      <c r="E30" s="13" t="s">
        <v>26</v>
      </c>
      <c r="F30" s="13" t="s">
        <v>27</v>
      </c>
      <c r="G30" s="14"/>
      <c r="H30" s="14"/>
      <c r="I30" s="14"/>
      <c r="J30" s="14"/>
      <c r="K30" s="12" t="s">
        <v>428</v>
      </c>
      <c r="L30" s="14" t="s">
        <v>450</v>
      </c>
      <c r="M30" s="14" t="s">
        <v>450</v>
      </c>
      <c r="N30" s="14"/>
      <c r="O30" s="14"/>
      <c r="P30" s="14"/>
      <c r="Q30" s="14"/>
      <c r="R30" s="14"/>
      <c r="S30" s="11" t="s">
        <v>429</v>
      </c>
      <c r="T30" s="12" t="str">
        <f>"107,0800"</f>
        <v>107,0800</v>
      </c>
      <c r="U30" s="13" t="s">
        <v>21</v>
      </c>
    </row>
    <row r="31" spans="1:21" ht="12.75">
      <c r="A31" s="19" t="s">
        <v>456</v>
      </c>
      <c r="B31" s="20" t="s">
        <v>457</v>
      </c>
      <c r="C31" s="20" t="s">
        <v>458</v>
      </c>
      <c r="D31" s="20" t="str">
        <f>"0,5261"</f>
        <v>0,5261</v>
      </c>
      <c r="E31" s="21" t="s">
        <v>26</v>
      </c>
      <c r="F31" s="21" t="s">
        <v>27</v>
      </c>
      <c r="G31" s="22"/>
      <c r="H31" s="22"/>
      <c r="I31" s="22"/>
      <c r="J31" s="22"/>
      <c r="K31" s="20" t="s">
        <v>428</v>
      </c>
      <c r="L31" s="22" t="s">
        <v>451</v>
      </c>
      <c r="M31" s="20" t="s">
        <v>451</v>
      </c>
      <c r="N31" s="22"/>
      <c r="O31" s="22"/>
      <c r="P31" s="22"/>
      <c r="Q31" s="22"/>
      <c r="R31" s="22"/>
      <c r="S31" s="19" t="s">
        <v>452</v>
      </c>
      <c r="T31" s="20" t="str">
        <f>"129,5679"</f>
        <v>129,5679</v>
      </c>
      <c r="U31" s="21" t="s">
        <v>21</v>
      </c>
    </row>
    <row r="32" spans="1:21" ht="12.75">
      <c r="A32" s="15" t="s">
        <v>310</v>
      </c>
      <c r="B32" s="16" t="s">
        <v>311</v>
      </c>
      <c r="C32" s="16" t="s">
        <v>458</v>
      </c>
      <c r="D32" s="16" t="str">
        <f>"0,5261"</f>
        <v>0,5261</v>
      </c>
      <c r="E32" s="17" t="s">
        <v>50</v>
      </c>
      <c r="F32" s="17" t="s">
        <v>51</v>
      </c>
      <c r="G32" s="18"/>
      <c r="H32" s="18"/>
      <c r="I32" s="18"/>
      <c r="J32" s="18"/>
      <c r="K32" s="16" t="s">
        <v>161</v>
      </c>
      <c r="L32" s="16" t="s">
        <v>163</v>
      </c>
      <c r="M32" s="18" t="s">
        <v>82</v>
      </c>
      <c r="N32" s="18"/>
      <c r="O32" s="18"/>
      <c r="P32" s="18"/>
      <c r="Q32" s="18"/>
      <c r="R32" s="18"/>
      <c r="S32" s="15" t="s">
        <v>164</v>
      </c>
      <c r="T32" s="16" t="str">
        <f>"130,6832"</f>
        <v>130,6832</v>
      </c>
      <c r="U32" s="17" t="s">
        <v>21</v>
      </c>
    </row>
    <row r="34" spans="1:20" ht="15.75">
      <c r="A34" s="33" t="s">
        <v>314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3"/>
      <c r="T34" s="34"/>
    </row>
    <row r="35" spans="1:21" ht="12.75">
      <c r="A35" s="6" t="s">
        <v>459</v>
      </c>
      <c r="B35" s="7" t="s">
        <v>460</v>
      </c>
      <c r="C35" s="7" t="s">
        <v>461</v>
      </c>
      <c r="D35" s="7" t="str">
        <f>"0,4900"</f>
        <v>0,4900</v>
      </c>
      <c r="E35" s="8" t="s">
        <v>141</v>
      </c>
      <c r="F35" s="8" t="s">
        <v>142</v>
      </c>
      <c r="G35" s="9"/>
      <c r="H35" s="9"/>
      <c r="I35" s="9"/>
      <c r="J35" s="9"/>
      <c r="K35" s="7" t="s">
        <v>428</v>
      </c>
      <c r="L35" s="7" t="s">
        <v>450</v>
      </c>
      <c r="M35" s="9" t="s">
        <v>462</v>
      </c>
      <c r="N35" s="9"/>
      <c r="O35" s="9"/>
      <c r="P35" s="9"/>
      <c r="Q35" s="9"/>
      <c r="R35" s="9"/>
      <c r="S35" s="6" t="s">
        <v>463</v>
      </c>
      <c r="T35" s="7" t="str">
        <f>"107,8000"</f>
        <v>107,8000</v>
      </c>
      <c r="U35" s="8" t="s">
        <v>21</v>
      </c>
    </row>
    <row r="37" ht="15.75">
      <c r="E37" s="23" t="s">
        <v>325</v>
      </c>
    </row>
    <row r="38" ht="15.75">
      <c r="E38" s="23" t="s">
        <v>326</v>
      </c>
    </row>
    <row r="39" ht="15.75">
      <c r="E39" s="23" t="s">
        <v>327</v>
      </c>
    </row>
    <row r="40" ht="15.75">
      <c r="E40" s="23" t="s">
        <v>328</v>
      </c>
    </row>
    <row r="41" ht="15.75">
      <c r="E41" s="23" t="s">
        <v>328</v>
      </c>
    </row>
    <row r="42" ht="15.75">
      <c r="E42" s="23" t="s">
        <v>329</v>
      </c>
    </row>
    <row r="43" ht="15.75">
      <c r="E43" s="23"/>
    </row>
    <row r="45" spans="1:2" ht="18">
      <c r="A45" s="24" t="s">
        <v>330</v>
      </c>
      <c r="B45" s="25"/>
    </row>
    <row r="46" spans="1:2" ht="15.75">
      <c r="A46" s="26" t="s">
        <v>331</v>
      </c>
      <c r="B46" s="10"/>
    </row>
    <row r="47" spans="1:2" ht="13.5">
      <c r="A47" s="28"/>
      <c r="B47" s="29" t="s">
        <v>361</v>
      </c>
    </row>
    <row r="48" spans="1:5" ht="13.5">
      <c r="A48" s="30" t="s">
        <v>333</v>
      </c>
      <c r="B48" s="30" t="s">
        <v>334</v>
      </c>
      <c r="C48" s="30" t="s">
        <v>335</v>
      </c>
      <c r="D48" s="30" t="s">
        <v>336</v>
      </c>
      <c r="E48" s="30" t="s">
        <v>337</v>
      </c>
    </row>
    <row r="49" spans="1:5" ht="12.75">
      <c r="A49" s="27" t="s">
        <v>420</v>
      </c>
      <c r="B49" s="1" t="s">
        <v>362</v>
      </c>
      <c r="C49" s="1" t="s">
        <v>340</v>
      </c>
      <c r="D49" s="1" t="s">
        <v>143</v>
      </c>
      <c r="E49" s="4" t="s">
        <v>464</v>
      </c>
    </row>
    <row r="52" spans="1:2" ht="15.75">
      <c r="A52" s="26" t="s">
        <v>352</v>
      </c>
      <c r="B52" s="10"/>
    </row>
    <row r="53" spans="1:2" ht="13.5">
      <c r="A53" s="31"/>
      <c r="B53" s="32" t="s">
        <v>332</v>
      </c>
    </row>
  </sheetData>
  <sheetProtection/>
  <mergeCells count="22">
    <mergeCell ref="A14:T14"/>
    <mergeCell ref="A17:T17"/>
    <mergeCell ref="A21:T21"/>
    <mergeCell ref="A26:T26"/>
    <mergeCell ref="A29:T29"/>
    <mergeCell ref="A34:T34"/>
    <mergeCell ref="S3:S4"/>
    <mergeCell ref="T3:T4"/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workbookViewId="0" topLeftCell="A1">
      <selection activeCell="A1" sqref="A1:K2"/>
    </sheetView>
  </sheetViews>
  <sheetFormatPr defaultColWidth="9.125" defaultRowHeight="12.75"/>
  <cols>
    <col min="1" max="1" width="28.25390625" style="4" bestFit="1" customWidth="1"/>
    <col min="2" max="2" width="21.375" style="1" bestFit="1" customWidth="1"/>
    <col min="3" max="3" width="10.625" style="1" bestFit="1" customWidth="1"/>
    <col min="4" max="4" width="10.75390625" style="1" bestFit="1" customWidth="1"/>
    <col min="5" max="5" width="22.75390625" style="5" bestFit="1" customWidth="1"/>
    <col min="6" max="6" width="41.00390625" style="5" bestFit="1" customWidth="1"/>
    <col min="7" max="8" width="4.625" style="1" bestFit="1" customWidth="1"/>
    <col min="9" max="9" width="7.875" style="4" bestFit="1" customWidth="1"/>
    <col min="10" max="10" width="9.625" style="1" bestFit="1" customWidth="1"/>
    <col min="11" max="11" width="8.875" style="5" bestFit="1" customWidth="1"/>
    <col min="12" max="16384" width="9.125" style="1" customWidth="1"/>
  </cols>
  <sheetData>
    <row r="1" spans="1:11" ht="15" customHeight="1">
      <c r="A1" s="39" t="s">
        <v>1049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66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2" customFormat="1" ht="12.75" customHeight="1">
      <c r="A3" s="45" t="s">
        <v>0</v>
      </c>
      <c r="B3" s="47" t="s">
        <v>9</v>
      </c>
      <c r="C3" s="37" t="s">
        <v>3</v>
      </c>
      <c r="D3" s="37" t="s">
        <v>1050</v>
      </c>
      <c r="E3" s="37" t="s">
        <v>6</v>
      </c>
      <c r="F3" s="37" t="s">
        <v>8</v>
      </c>
      <c r="G3" s="37" t="s">
        <v>1</v>
      </c>
      <c r="H3" s="37"/>
      <c r="I3" s="37" t="s">
        <v>2</v>
      </c>
      <c r="J3" s="37" t="s">
        <v>5</v>
      </c>
      <c r="K3" s="48" t="s">
        <v>4</v>
      </c>
    </row>
    <row r="4" spans="1:11" s="2" customFormat="1" ht="21" customHeight="1" thickBot="1">
      <c r="A4" s="46"/>
      <c r="B4" s="38"/>
      <c r="C4" s="38"/>
      <c r="D4" s="38"/>
      <c r="E4" s="38"/>
      <c r="F4" s="38"/>
      <c r="G4" s="3">
        <v>1</v>
      </c>
      <c r="H4" s="3">
        <v>2</v>
      </c>
      <c r="I4" s="38"/>
      <c r="J4" s="38"/>
      <c r="K4" s="49"/>
    </row>
    <row r="5" spans="1:10" ht="15.75">
      <c r="A5" s="35" t="s">
        <v>103</v>
      </c>
      <c r="B5" s="36"/>
      <c r="C5" s="36"/>
      <c r="D5" s="36"/>
      <c r="E5" s="36"/>
      <c r="F5" s="36"/>
      <c r="G5" s="36"/>
      <c r="H5" s="36"/>
      <c r="I5" s="35"/>
      <c r="J5" s="36"/>
    </row>
    <row r="6" spans="1:11" ht="12.75">
      <c r="A6" s="11" t="s">
        <v>1051</v>
      </c>
      <c r="B6" s="12" t="s">
        <v>1052</v>
      </c>
      <c r="C6" s="12" t="s">
        <v>1053</v>
      </c>
      <c r="D6" s="12" t="str">
        <f>"0,9102"</f>
        <v>0,9102</v>
      </c>
      <c r="E6" s="13" t="s">
        <v>133</v>
      </c>
      <c r="F6" s="13" t="s">
        <v>134</v>
      </c>
      <c r="G6" s="12" t="s">
        <v>60</v>
      </c>
      <c r="H6" s="14" t="s">
        <v>1054</v>
      </c>
      <c r="I6" s="11" t="s">
        <v>1055</v>
      </c>
      <c r="J6" s="12" t="str">
        <f>"769,1190"</f>
        <v>769,1190</v>
      </c>
      <c r="K6" s="13" t="s">
        <v>21</v>
      </c>
    </row>
    <row r="7" spans="1:11" ht="12.75">
      <c r="A7" s="15" t="s">
        <v>678</v>
      </c>
      <c r="B7" s="16" t="s">
        <v>1056</v>
      </c>
      <c r="C7" s="16" t="s">
        <v>1057</v>
      </c>
      <c r="D7" s="16" t="str">
        <f>"0,9315"</f>
        <v>0,9315</v>
      </c>
      <c r="E7" s="17" t="s">
        <v>133</v>
      </c>
      <c r="F7" s="17" t="s">
        <v>134</v>
      </c>
      <c r="G7" s="16" t="s">
        <v>28</v>
      </c>
      <c r="H7" s="18" t="s">
        <v>1058</v>
      </c>
      <c r="I7" s="15" t="s">
        <v>1059</v>
      </c>
      <c r="J7" s="16" t="str">
        <f>"523,9688"</f>
        <v>523,9688</v>
      </c>
      <c r="K7" s="17" t="s">
        <v>21</v>
      </c>
    </row>
    <row r="9" spans="1:10" ht="15.75">
      <c r="A9" s="33" t="s">
        <v>129</v>
      </c>
      <c r="B9" s="34"/>
      <c r="C9" s="34"/>
      <c r="D9" s="34"/>
      <c r="E9" s="34"/>
      <c r="F9" s="34"/>
      <c r="G9" s="34"/>
      <c r="H9" s="34"/>
      <c r="I9" s="33"/>
      <c r="J9" s="34"/>
    </row>
    <row r="10" spans="1:11" ht="12.75">
      <c r="A10" s="6" t="s">
        <v>1060</v>
      </c>
      <c r="B10" s="7" t="s">
        <v>1061</v>
      </c>
      <c r="C10" s="7" t="s">
        <v>1062</v>
      </c>
      <c r="D10" s="7" t="str">
        <f>"0,8655"</f>
        <v>0,8655</v>
      </c>
      <c r="E10" s="8" t="s">
        <v>34</v>
      </c>
      <c r="F10" s="8" t="s">
        <v>35</v>
      </c>
      <c r="G10" s="7" t="s">
        <v>109</v>
      </c>
      <c r="H10" s="9" t="s">
        <v>1063</v>
      </c>
      <c r="I10" s="6" t="s">
        <v>1064</v>
      </c>
      <c r="J10" s="7" t="str">
        <f>"484,6800"</f>
        <v>484,6800</v>
      </c>
      <c r="K10" s="8" t="s">
        <v>21</v>
      </c>
    </row>
    <row r="12" spans="1:10" ht="15.75">
      <c r="A12" s="33" t="s">
        <v>150</v>
      </c>
      <c r="B12" s="34"/>
      <c r="C12" s="34"/>
      <c r="D12" s="34"/>
      <c r="E12" s="34"/>
      <c r="F12" s="34"/>
      <c r="G12" s="34"/>
      <c r="H12" s="34"/>
      <c r="I12" s="33"/>
      <c r="J12" s="34"/>
    </row>
    <row r="13" spans="1:11" ht="12.75">
      <c r="A13" s="11" t="s">
        <v>183</v>
      </c>
      <c r="B13" s="12" t="s">
        <v>184</v>
      </c>
      <c r="C13" s="12" t="s">
        <v>1065</v>
      </c>
      <c r="D13" s="12" t="str">
        <f>"0,8157"</f>
        <v>0,8157</v>
      </c>
      <c r="E13" s="13" t="s">
        <v>34</v>
      </c>
      <c r="F13" s="13" t="s">
        <v>35</v>
      </c>
      <c r="G13" s="12" t="s">
        <v>67</v>
      </c>
      <c r="H13" s="14" t="s">
        <v>1066</v>
      </c>
      <c r="I13" s="11" t="s">
        <v>1067</v>
      </c>
      <c r="J13" s="12" t="str">
        <f>"2402,2365"</f>
        <v>2402,2365</v>
      </c>
      <c r="K13" s="13" t="s">
        <v>21</v>
      </c>
    </row>
    <row r="14" spans="1:11" ht="12.75">
      <c r="A14" s="19" t="s">
        <v>1068</v>
      </c>
      <c r="B14" s="20" t="s">
        <v>1069</v>
      </c>
      <c r="C14" s="20" t="s">
        <v>1070</v>
      </c>
      <c r="D14" s="20" t="str">
        <f>"0,7766"</f>
        <v>0,7766</v>
      </c>
      <c r="E14" s="21" t="s">
        <v>34</v>
      </c>
      <c r="F14" s="21" t="s">
        <v>35</v>
      </c>
      <c r="G14" s="20" t="s">
        <v>1071</v>
      </c>
      <c r="H14" s="22" t="s">
        <v>54</v>
      </c>
      <c r="I14" s="19" t="s">
        <v>1072</v>
      </c>
      <c r="J14" s="20" t="str">
        <f>"1922,0850"</f>
        <v>1922,0850</v>
      </c>
      <c r="K14" s="21" t="s">
        <v>21</v>
      </c>
    </row>
    <row r="15" spans="1:11" ht="12.75">
      <c r="A15" s="15" t="s">
        <v>1073</v>
      </c>
      <c r="B15" s="16" t="s">
        <v>190</v>
      </c>
      <c r="C15" s="16" t="s">
        <v>191</v>
      </c>
      <c r="D15" s="16" t="str">
        <f>"0,7564"</f>
        <v>0,7564</v>
      </c>
      <c r="E15" s="17" t="s">
        <v>107</v>
      </c>
      <c r="F15" s="17" t="s">
        <v>108</v>
      </c>
      <c r="G15" s="16" t="s">
        <v>1071</v>
      </c>
      <c r="H15" s="18" t="s">
        <v>1074</v>
      </c>
      <c r="I15" s="15" t="s">
        <v>1075</v>
      </c>
      <c r="J15" s="16" t="str">
        <f>"1123,2540"</f>
        <v>1123,2540</v>
      </c>
      <c r="K15" s="17" t="s">
        <v>21</v>
      </c>
    </row>
    <row r="17" spans="1:10" ht="15.75">
      <c r="A17" s="33" t="s">
        <v>214</v>
      </c>
      <c r="B17" s="34"/>
      <c r="C17" s="34"/>
      <c r="D17" s="34"/>
      <c r="E17" s="34"/>
      <c r="F17" s="34"/>
      <c r="G17" s="34"/>
      <c r="H17" s="34"/>
      <c r="I17" s="33"/>
      <c r="J17" s="34"/>
    </row>
    <row r="18" spans="1:11" ht="12.75">
      <c r="A18" s="11" t="s">
        <v>1076</v>
      </c>
      <c r="B18" s="12" t="s">
        <v>1077</v>
      </c>
      <c r="C18" s="12" t="s">
        <v>1078</v>
      </c>
      <c r="D18" s="12" t="str">
        <f>"0,7341"</f>
        <v>0,7341</v>
      </c>
      <c r="E18" s="13" t="s">
        <v>804</v>
      </c>
      <c r="F18" s="13" t="s">
        <v>805</v>
      </c>
      <c r="G18" s="12" t="s">
        <v>101</v>
      </c>
      <c r="H18" s="14" t="s">
        <v>738</v>
      </c>
      <c r="I18" s="11" t="s">
        <v>1079</v>
      </c>
      <c r="J18" s="12" t="str">
        <f>"2248,1812"</f>
        <v>2248,1812</v>
      </c>
      <c r="K18" s="13" t="s">
        <v>21</v>
      </c>
    </row>
    <row r="19" spans="1:11" ht="12.75">
      <c r="A19" s="19" t="s">
        <v>1080</v>
      </c>
      <c r="B19" s="20" t="s">
        <v>251</v>
      </c>
      <c r="C19" s="20" t="s">
        <v>252</v>
      </c>
      <c r="D19" s="20" t="str">
        <f>"0,7557"</f>
        <v>0,7557</v>
      </c>
      <c r="E19" s="21" t="s">
        <v>107</v>
      </c>
      <c r="F19" s="21" t="s">
        <v>108</v>
      </c>
      <c r="G19" s="20" t="s">
        <v>100</v>
      </c>
      <c r="H19" s="22" t="s">
        <v>1081</v>
      </c>
      <c r="I19" s="19" t="s">
        <v>1082</v>
      </c>
      <c r="J19" s="20" t="str">
        <f>"2119,7385"</f>
        <v>2119,7385</v>
      </c>
      <c r="K19" s="21" t="s">
        <v>21</v>
      </c>
    </row>
    <row r="20" spans="1:11" ht="12.75">
      <c r="A20" s="19" t="s">
        <v>535</v>
      </c>
      <c r="B20" s="20" t="s">
        <v>536</v>
      </c>
      <c r="C20" s="20" t="s">
        <v>434</v>
      </c>
      <c r="D20" s="20" t="str">
        <f>"0,7177"</f>
        <v>0,7177</v>
      </c>
      <c r="E20" s="21" t="s">
        <v>537</v>
      </c>
      <c r="F20" s="21" t="s">
        <v>538</v>
      </c>
      <c r="G20" s="20" t="s">
        <v>110</v>
      </c>
      <c r="H20" s="22" t="s">
        <v>1083</v>
      </c>
      <c r="I20" s="19" t="s">
        <v>1084</v>
      </c>
      <c r="J20" s="20" t="str">
        <f>"2002,3830"</f>
        <v>2002,3830</v>
      </c>
      <c r="K20" s="21" t="s">
        <v>21</v>
      </c>
    </row>
    <row r="21" spans="1:11" ht="12.75">
      <c r="A21" s="15" t="s">
        <v>981</v>
      </c>
      <c r="B21" s="16" t="s">
        <v>982</v>
      </c>
      <c r="C21" s="16" t="s">
        <v>1085</v>
      </c>
      <c r="D21" s="16" t="str">
        <f>"0,7213"</f>
        <v>0,7213</v>
      </c>
      <c r="E21" s="17" t="s">
        <v>107</v>
      </c>
      <c r="F21" s="17" t="s">
        <v>108</v>
      </c>
      <c r="G21" s="16" t="s">
        <v>110</v>
      </c>
      <c r="H21" s="18" t="s">
        <v>54</v>
      </c>
      <c r="I21" s="15" t="s">
        <v>1086</v>
      </c>
      <c r="J21" s="16" t="str">
        <f>"1947,5100"</f>
        <v>1947,5100</v>
      </c>
      <c r="K21" s="17" t="s">
        <v>21</v>
      </c>
    </row>
    <row r="23" ht="15.75">
      <c r="E23" s="23" t="s">
        <v>325</v>
      </c>
    </row>
    <row r="24" ht="15.75">
      <c r="E24" s="23" t="s">
        <v>326</v>
      </c>
    </row>
    <row r="25" ht="15.75">
      <c r="E25" s="23" t="s">
        <v>327</v>
      </c>
    </row>
    <row r="26" ht="15.75">
      <c r="E26" s="23" t="s">
        <v>328</v>
      </c>
    </row>
    <row r="27" ht="15.75">
      <c r="E27" s="23" t="s">
        <v>328</v>
      </c>
    </row>
    <row r="28" ht="15.75">
      <c r="E28" s="23" t="s">
        <v>329</v>
      </c>
    </row>
    <row r="29" ht="15.75">
      <c r="E29" s="23"/>
    </row>
    <row r="31" spans="1:2" ht="18">
      <c r="A31" s="24" t="s">
        <v>330</v>
      </c>
      <c r="B31" s="25"/>
    </row>
    <row r="32" spans="1:2" ht="15.75">
      <c r="A32" s="26" t="s">
        <v>331</v>
      </c>
      <c r="B32" s="10"/>
    </row>
    <row r="33" spans="1:2" ht="13.5">
      <c r="A33" s="28"/>
      <c r="B33" s="29" t="s">
        <v>332</v>
      </c>
    </row>
    <row r="34" spans="1:5" ht="13.5">
      <c r="A34" s="30" t="s">
        <v>333</v>
      </c>
      <c r="B34" s="30" t="s">
        <v>334</v>
      </c>
      <c r="C34" s="30" t="s">
        <v>335</v>
      </c>
      <c r="D34" s="30" t="s">
        <v>336</v>
      </c>
      <c r="E34" s="30" t="s">
        <v>1087</v>
      </c>
    </row>
    <row r="35" spans="1:5" ht="12.75">
      <c r="A35" s="27" t="s">
        <v>1051</v>
      </c>
      <c r="B35" s="1" t="s">
        <v>332</v>
      </c>
      <c r="C35" s="1" t="s">
        <v>355</v>
      </c>
      <c r="D35" s="1" t="s">
        <v>1088</v>
      </c>
      <c r="E35" s="4" t="s">
        <v>1089</v>
      </c>
    </row>
    <row r="36" spans="1:5" ht="12.75">
      <c r="A36" s="27" t="s">
        <v>678</v>
      </c>
      <c r="B36" s="1" t="s">
        <v>332</v>
      </c>
      <c r="C36" s="1" t="s">
        <v>355</v>
      </c>
      <c r="D36" s="1" t="s">
        <v>1090</v>
      </c>
      <c r="E36" s="4" t="s">
        <v>1091</v>
      </c>
    </row>
    <row r="39" spans="1:2" ht="15.75">
      <c r="A39" s="26" t="s">
        <v>352</v>
      </c>
      <c r="B39" s="10"/>
    </row>
    <row r="40" spans="1:2" ht="13.5">
      <c r="A40" s="28"/>
      <c r="B40" s="29" t="s">
        <v>332</v>
      </c>
    </row>
    <row r="41" spans="1:5" ht="13.5">
      <c r="A41" s="30" t="s">
        <v>333</v>
      </c>
      <c r="B41" s="30" t="s">
        <v>334</v>
      </c>
      <c r="C41" s="30" t="s">
        <v>335</v>
      </c>
      <c r="D41" s="30" t="s">
        <v>336</v>
      </c>
      <c r="E41" s="30" t="s">
        <v>1087</v>
      </c>
    </row>
    <row r="42" spans="1:5" ht="12.75">
      <c r="A42" s="27" t="s">
        <v>183</v>
      </c>
      <c r="B42" s="1" t="s">
        <v>332</v>
      </c>
      <c r="C42" s="1" t="s">
        <v>368</v>
      </c>
      <c r="D42" s="1" t="s">
        <v>1092</v>
      </c>
      <c r="E42" s="4" t="s">
        <v>1093</v>
      </c>
    </row>
    <row r="43" spans="1:5" ht="12.75">
      <c r="A43" s="27" t="s">
        <v>1076</v>
      </c>
      <c r="B43" s="1" t="s">
        <v>332</v>
      </c>
      <c r="C43" s="1" t="s">
        <v>370</v>
      </c>
      <c r="D43" s="1" t="s">
        <v>1094</v>
      </c>
      <c r="E43" s="4" t="s">
        <v>1095</v>
      </c>
    </row>
    <row r="44" spans="1:5" ht="12.75">
      <c r="A44" s="27" t="s">
        <v>1080</v>
      </c>
      <c r="B44" s="1" t="s">
        <v>332</v>
      </c>
      <c r="C44" s="1" t="s">
        <v>370</v>
      </c>
      <c r="D44" s="1" t="s">
        <v>1096</v>
      </c>
      <c r="E44" s="4" t="s">
        <v>1097</v>
      </c>
    </row>
    <row r="45" spans="1:5" ht="12.75">
      <c r="A45" s="27" t="s">
        <v>535</v>
      </c>
      <c r="B45" s="1" t="s">
        <v>332</v>
      </c>
      <c r="C45" s="1" t="s">
        <v>370</v>
      </c>
      <c r="D45" s="1" t="s">
        <v>1098</v>
      </c>
      <c r="E45" s="4" t="s">
        <v>1099</v>
      </c>
    </row>
    <row r="46" spans="1:5" ht="12.75">
      <c r="A46" s="27" t="s">
        <v>981</v>
      </c>
      <c r="B46" s="1" t="s">
        <v>332</v>
      </c>
      <c r="C46" s="1" t="s">
        <v>370</v>
      </c>
      <c r="D46" s="1" t="s">
        <v>1100</v>
      </c>
      <c r="E46" s="4" t="s">
        <v>1101</v>
      </c>
    </row>
    <row r="47" spans="1:5" ht="12.75">
      <c r="A47" s="27" t="s">
        <v>1068</v>
      </c>
      <c r="B47" s="1" t="s">
        <v>332</v>
      </c>
      <c r="C47" s="1" t="s">
        <v>368</v>
      </c>
      <c r="D47" s="1" t="s">
        <v>1102</v>
      </c>
      <c r="E47" s="4" t="s">
        <v>1103</v>
      </c>
    </row>
    <row r="48" spans="1:5" ht="12.75">
      <c r="A48" s="27" t="s">
        <v>1073</v>
      </c>
      <c r="B48" s="1" t="s">
        <v>332</v>
      </c>
      <c r="C48" s="1" t="s">
        <v>368</v>
      </c>
      <c r="D48" s="1" t="s">
        <v>1104</v>
      </c>
      <c r="E48" s="4" t="s">
        <v>1105</v>
      </c>
    </row>
    <row r="49" spans="1:5" ht="12.75">
      <c r="A49" s="27" t="s">
        <v>1060</v>
      </c>
      <c r="B49" s="1" t="s">
        <v>332</v>
      </c>
      <c r="C49" s="1" t="s">
        <v>392</v>
      </c>
      <c r="D49" s="1" t="s">
        <v>1106</v>
      </c>
      <c r="E49" s="4" t="s">
        <v>1107</v>
      </c>
    </row>
  </sheetData>
  <sheetProtection/>
  <mergeCells count="15">
    <mergeCell ref="F3:F4"/>
    <mergeCell ref="G3:H3"/>
    <mergeCell ref="I3:I4"/>
    <mergeCell ref="J3:J4"/>
    <mergeCell ref="K3:K4"/>
    <mergeCell ref="A5:J5"/>
    <mergeCell ref="A9:J9"/>
    <mergeCell ref="A12:J12"/>
    <mergeCell ref="A17:J17"/>
    <mergeCell ref="A1:K2"/>
    <mergeCell ref="A3:A4"/>
    <mergeCell ref="B3:B4"/>
    <mergeCell ref="C3:C4"/>
    <mergeCell ref="D3:D4"/>
    <mergeCell ref="E3:E4"/>
  </mergeCells>
  <printOptions/>
  <pageMargins left="0.1968503937007874" right="0.4724409448818898" top="0.4330708661417323" bottom="0.4724409448818898" header="0.5118110236220472" footer="0.5118110236220472"/>
  <pageSetup fitToHeight="1" fitToWidth="1" horizontalDpi="300" verticalDpi="300" orientation="landscape" scale="76"/>
  <headerFooter alignWithMargins="0">
    <oddFooter>&amp;L&amp;G&amp;R&amp;D&amp;T&amp;P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A1" sqref="A1:K2"/>
    </sheetView>
  </sheetViews>
  <sheetFormatPr defaultColWidth="9.125" defaultRowHeight="12.75"/>
  <cols>
    <col min="1" max="1" width="28.25390625" style="4" bestFit="1" customWidth="1"/>
    <col min="2" max="2" width="26.875" style="1" bestFit="1" customWidth="1"/>
    <col min="3" max="3" width="10.625" style="1" bestFit="1" customWidth="1"/>
    <col min="4" max="4" width="9.25390625" style="1" bestFit="1" customWidth="1"/>
    <col min="5" max="5" width="22.75390625" style="5" bestFit="1" customWidth="1"/>
    <col min="6" max="6" width="30.25390625" style="5" bestFit="1" customWidth="1"/>
    <col min="7" max="8" width="4.625" style="1" bestFit="1" customWidth="1"/>
    <col min="9" max="9" width="7.875" style="4" bestFit="1" customWidth="1"/>
    <col min="10" max="10" width="9.625" style="1" bestFit="1" customWidth="1"/>
    <col min="11" max="11" width="8.875" style="5" bestFit="1" customWidth="1"/>
    <col min="12" max="16384" width="9.125" style="1" customWidth="1"/>
  </cols>
  <sheetData>
    <row r="1" spans="1:11" ht="15" customHeight="1">
      <c r="A1" s="39" t="s">
        <v>1220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66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2" customFormat="1" ht="12.75" customHeight="1">
      <c r="A3" s="45" t="s">
        <v>0</v>
      </c>
      <c r="B3" s="47" t="s">
        <v>9</v>
      </c>
      <c r="C3" s="37" t="s">
        <v>3</v>
      </c>
      <c r="D3" s="37" t="s">
        <v>11</v>
      </c>
      <c r="E3" s="37" t="s">
        <v>6</v>
      </c>
      <c r="F3" s="37" t="s">
        <v>8</v>
      </c>
      <c r="G3" s="37" t="s">
        <v>1</v>
      </c>
      <c r="H3" s="37"/>
      <c r="I3" s="37" t="s">
        <v>2</v>
      </c>
      <c r="J3" s="37" t="s">
        <v>5</v>
      </c>
      <c r="K3" s="48" t="s">
        <v>4</v>
      </c>
    </row>
    <row r="4" spans="1:11" s="2" customFormat="1" ht="21" customHeight="1" thickBot="1">
      <c r="A4" s="46"/>
      <c r="B4" s="38"/>
      <c r="C4" s="38"/>
      <c r="D4" s="38"/>
      <c r="E4" s="38"/>
      <c r="F4" s="38"/>
      <c r="G4" s="3">
        <v>1</v>
      </c>
      <c r="H4" s="3">
        <v>2</v>
      </c>
      <c r="I4" s="38"/>
      <c r="J4" s="38"/>
      <c r="K4" s="49"/>
    </row>
    <row r="5" spans="1:10" ht="15.75">
      <c r="A5" s="35" t="s">
        <v>1209</v>
      </c>
      <c r="B5" s="36"/>
      <c r="C5" s="36"/>
      <c r="D5" s="36"/>
      <c r="E5" s="36"/>
      <c r="F5" s="36"/>
      <c r="G5" s="36"/>
      <c r="H5" s="36"/>
      <c r="I5" s="35"/>
      <c r="J5" s="36"/>
    </row>
    <row r="6" spans="1:11" ht="12.75">
      <c r="A6" s="11" t="s">
        <v>1221</v>
      </c>
      <c r="B6" s="12" t="s">
        <v>1222</v>
      </c>
      <c r="C6" s="12" t="s">
        <v>512</v>
      </c>
      <c r="D6" s="12" t="str">
        <f>"0,6233"</f>
        <v>0,6233</v>
      </c>
      <c r="E6" s="13" t="s">
        <v>42</v>
      </c>
      <c r="F6" s="13" t="s">
        <v>43</v>
      </c>
      <c r="G6" s="12" t="s">
        <v>488</v>
      </c>
      <c r="H6" s="14" t="s">
        <v>1179</v>
      </c>
      <c r="I6" s="11" t="s">
        <v>1167</v>
      </c>
      <c r="J6" s="12" t="str">
        <f>"994,0838"</f>
        <v>994,0838</v>
      </c>
      <c r="K6" s="13" t="s">
        <v>21</v>
      </c>
    </row>
    <row r="7" spans="1:11" ht="12.75">
      <c r="A7" s="19" t="s">
        <v>201</v>
      </c>
      <c r="B7" s="20" t="s">
        <v>1223</v>
      </c>
      <c r="C7" s="20" t="s">
        <v>1224</v>
      </c>
      <c r="D7" s="20" t="str">
        <f>"0,6241"</f>
        <v>0,6241</v>
      </c>
      <c r="E7" s="21" t="s">
        <v>133</v>
      </c>
      <c r="F7" s="21" t="s">
        <v>160</v>
      </c>
      <c r="G7" s="20" t="s">
        <v>488</v>
      </c>
      <c r="H7" s="22" t="s">
        <v>1225</v>
      </c>
      <c r="I7" s="19" t="s">
        <v>1226</v>
      </c>
      <c r="J7" s="20" t="str">
        <f>"1078,9878"</f>
        <v>1078,9878</v>
      </c>
      <c r="K7" s="21" t="s">
        <v>21</v>
      </c>
    </row>
    <row r="8" spans="1:11" ht="12.75">
      <c r="A8" s="19" t="s">
        <v>1227</v>
      </c>
      <c r="B8" s="20" t="s">
        <v>1228</v>
      </c>
      <c r="C8" s="20" t="s">
        <v>800</v>
      </c>
      <c r="D8" s="20" t="str">
        <f>"0,5619"</f>
        <v>0,5619</v>
      </c>
      <c r="E8" s="21" t="s">
        <v>42</v>
      </c>
      <c r="F8" s="21" t="s">
        <v>43</v>
      </c>
      <c r="G8" s="20" t="s">
        <v>488</v>
      </c>
      <c r="H8" s="22" t="s">
        <v>1229</v>
      </c>
      <c r="I8" s="19" t="s">
        <v>1230</v>
      </c>
      <c r="J8" s="20" t="str">
        <f>"949,3863"</f>
        <v>949,3863</v>
      </c>
      <c r="K8" s="21" t="s">
        <v>21</v>
      </c>
    </row>
    <row r="9" spans="1:11" ht="12.75">
      <c r="A9" s="15" t="s">
        <v>1231</v>
      </c>
      <c r="B9" s="16" t="s">
        <v>1232</v>
      </c>
      <c r="C9" s="16" t="s">
        <v>1233</v>
      </c>
      <c r="D9" s="16" t="str">
        <f>"0,6009"</f>
        <v>0,6009</v>
      </c>
      <c r="E9" s="17" t="s">
        <v>307</v>
      </c>
      <c r="F9" s="17" t="s">
        <v>308</v>
      </c>
      <c r="G9" s="16" t="s">
        <v>488</v>
      </c>
      <c r="H9" s="18" t="s">
        <v>1234</v>
      </c>
      <c r="I9" s="15" t="s">
        <v>1235</v>
      </c>
      <c r="J9" s="16" t="str">
        <f>"696,0225"</f>
        <v>696,0225</v>
      </c>
      <c r="K9" s="17" t="s">
        <v>21</v>
      </c>
    </row>
    <row r="11" ht="15.75">
      <c r="E11" s="23" t="s">
        <v>325</v>
      </c>
    </row>
    <row r="12" ht="15.75">
      <c r="E12" s="23" t="s">
        <v>326</v>
      </c>
    </row>
    <row r="13" ht="15.75">
      <c r="E13" s="23" t="s">
        <v>327</v>
      </c>
    </row>
    <row r="14" ht="15.75">
      <c r="E14" s="23" t="s">
        <v>328</v>
      </c>
    </row>
    <row r="15" ht="15.75">
      <c r="E15" s="23" t="s">
        <v>328</v>
      </c>
    </row>
    <row r="16" ht="15.75">
      <c r="E16" s="23" t="s">
        <v>329</v>
      </c>
    </row>
    <row r="17" ht="15.75">
      <c r="E17" s="23"/>
    </row>
    <row r="19" spans="1:2" ht="18">
      <c r="A19" s="24" t="s">
        <v>330</v>
      </c>
      <c r="B19" s="25"/>
    </row>
    <row r="20" spans="1:2" ht="15.75">
      <c r="A20" s="26" t="s">
        <v>352</v>
      </c>
      <c r="B20" s="10"/>
    </row>
    <row r="21" spans="1:2" ht="13.5">
      <c r="A21" s="28"/>
      <c r="B21" s="29" t="s">
        <v>347</v>
      </c>
    </row>
    <row r="22" spans="1:5" ht="13.5">
      <c r="A22" s="30" t="s">
        <v>333</v>
      </c>
      <c r="B22" s="30" t="s">
        <v>334</v>
      </c>
      <c r="C22" s="30" t="s">
        <v>335</v>
      </c>
      <c r="D22" s="30" t="s">
        <v>336</v>
      </c>
      <c r="E22" s="30" t="s">
        <v>337</v>
      </c>
    </row>
    <row r="23" spans="1:5" ht="12.75">
      <c r="A23" s="27" t="s">
        <v>201</v>
      </c>
      <c r="B23" s="1" t="s">
        <v>1236</v>
      </c>
      <c r="C23" s="1" t="s">
        <v>1215</v>
      </c>
      <c r="D23" s="1" t="s">
        <v>1237</v>
      </c>
      <c r="E23" s="4" t="s">
        <v>1238</v>
      </c>
    </row>
    <row r="24" spans="1:5" ht="12.75">
      <c r="A24" s="27" t="s">
        <v>1221</v>
      </c>
      <c r="B24" s="1" t="s">
        <v>1239</v>
      </c>
      <c r="C24" s="1" t="s">
        <v>1215</v>
      </c>
      <c r="D24" s="1" t="s">
        <v>1201</v>
      </c>
      <c r="E24" s="4" t="s">
        <v>1240</v>
      </c>
    </row>
    <row r="25" spans="1:5" ht="12.75">
      <c r="A25" s="27" t="s">
        <v>1227</v>
      </c>
      <c r="B25" s="1" t="s">
        <v>1241</v>
      </c>
      <c r="C25" s="1" t="s">
        <v>1215</v>
      </c>
      <c r="D25" s="1" t="s">
        <v>1242</v>
      </c>
      <c r="E25" s="4" t="s">
        <v>1243</v>
      </c>
    </row>
    <row r="26" spans="1:5" ht="12.75">
      <c r="A26" s="27" t="s">
        <v>1231</v>
      </c>
      <c r="B26" s="1" t="s">
        <v>1241</v>
      </c>
      <c r="C26" s="1" t="s">
        <v>1215</v>
      </c>
      <c r="D26" s="1" t="s">
        <v>1244</v>
      </c>
      <c r="E26" s="4" t="s">
        <v>1245</v>
      </c>
    </row>
  </sheetData>
  <sheetProtection/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J5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 topLeftCell="A1">
      <selection activeCell="F20" sqref="F20"/>
    </sheetView>
  </sheetViews>
  <sheetFormatPr defaultColWidth="9.125" defaultRowHeight="12.75"/>
  <cols>
    <col min="1" max="1" width="28.25390625" style="4" bestFit="1" customWidth="1"/>
    <col min="2" max="2" width="21.375" style="1" bestFit="1" customWidth="1"/>
    <col min="3" max="3" width="10.625" style="1" bestFit="1" customWidth="1"/>
    <col min="4" max="4" width="9.25390625" style="1" bestFit="1" customWidth="1"/>
    <col min="5" max="5" width="22.75390625" style="5" bestFit="1" customWidth="1"/>
    <col min="6" max="6" width="30.00390625" style="5" bestFit="1" customWidth="1"/>
    <col min="7" max="8" width="4.625" style="1" bestFit="1" customWidth="1"/>
    <col min="9" max="9" width="7.875" style="4" bestFit="1" customWidth="1"/>
    <col min="10" max="10" width="9.625" style="1" bestFit="1" customWidth="1"/>
    <col min="11" max="11" width="8.875" style="5" bestFit="1" customWidth="1"/>
    <col min="12" max="16384" width="9.125" style="1" customWidth="1"/>
  </cols>
  <sheetData>
    <row r="1" spans="1:11" ht="15" customHeight="1">
      <c r="A1" s="39" t="s">
        <v>1208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66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2" customFormat="1" ht="12.75" customHeight="1">
      <c r="A3" s="45" t="s">
        <v>0</v>
      </c>
      <c r="B3" s="47" t="s">
        <v>9</v>
      </c>
      <c r="C3" s="37" t="s">
        <v>3</v>
      </c>
      <c r="D3" s="37" t="s">
        <v>11</v>
      </c>
      <c r="E3" s="37" t="s">
        <v>6</v>
      </c>
      <c r="F3" s="37" t="s">
        <v>8</v>
      </c>
      <c r="G3" s="37" t="s">
        <v>1</v>
      </c>
      <c r="H3" s="37"/>
      <c r="I3" s="37" t="s">
        <v>2</v>
      </c>
      <c r="J3" s="37" t="s">
        <v>5</v>
      </c>
      <c r="K3" s="48" t="s">
        <v>4</v>
      </c>
    </row>
    <row r="4" spans="1:11" s="2" customFormat="1" ht="21" customHeight="1" thickBot="1">
      <c r="A4" s="46"/>
      <c r="B4" s="38"/>
      <c r="C4" s="38"/>
      <c r="D4" s="38"/>
      <c r="E4" s="38"/>
      <c r="F4" s="38"/>
      <c r="G4" s="3">
        <v>1</v>
      </c>
      <c r="H4" s="3">
        <v>2</v>
      </c>
      <c r="I4" s="38"/>
      <c r="J4" s="38"/>
      <c r="K4" s="49"/>
    </row>
    <row r="5" spans="1:10" ht="15.75">
      <c r="A5" s="35" t="s">
        <v>1209</v>
      </c>
      <c r="B5" s="36"/>
      <c r="C5" s="36"/>
      <c r="D5" s="36"/>
      <c r="E5" s="36"/>
      <c r="F5" s="36"/>
      <c r="G5" s="36"/>
      <c r="H5" s="36"/>
      <c r="I5" s="35"/>
      <c r="J5" s="36"/>
    </row>
    <row r="6" spans="1:11" ht="12.75">
      <c r="A6" s="11" t="s">
        <v>1181</v>
      </c>
      <c r="B6" s="12" t="s">
        <v>1182</v>
      </c>
      <c r="C6" s="12" t="s">
        <v>1183</v>
      </c>
      <c r="D6" s="12" t="str">
        <f>"0,5821"</f>
        <v>0,5821</v>
      </c>
      <c r="E6" s="13" t="s">
        <v>133</v>
      </c>
      <c r="F6" s="13" t="s">
        <v>160</v>
      </c>
      <c r="G6" s="12" t="s">
        <v>127</v>
      </c>
      <c r="H6" s="14" t="s">
        <v>738</v>
      </c>
      <c r="I6" s="11" t="s">
        <v>1210</v>
      </c>
      <c r="J6" s="12" t="str">
        <f>"1528,0124"</f>
        <v>1528,0124</v>
      </c>
      <c r="K6" s="13" t="s">
        <v>21</v>
      </c>
    </row>
    <row r="7" spans="1:11" ht="12.75">
      <c r="A7" s="15" t="s">
        <v>1211</v>
      </c>
      <c r="B7" s="16" t="s">
        <v>1212</v>
      </c>
      <c r="C7" s="16" t="s">
        <v>1213</v>
      </c>
      <c r="D7" s="16" t="str">
        <f>"0,5770"</f>
        <v>0,5770</v>
      </c>
      <c r="E7" s="17" t="s">
        <v>133</v>
      </c>
      <c r="F7" s="17" t="s">
        <v>160</v>
      </c>
      <c r="G7" s="16" t="s">
        <v>127</v>
      </c>
      <c r="H7" s="18" t="s">
        <v>54</v>
      </c>
      <c r="I7" s="15" t="s">
        <v>1214</v>
      </c>
      <c r="J7" s="16" t="str">
        <f>"1298,2500"</f>
        <v>1298,2500</v>
      </c>
      <c r="K7" s="17" t="s">
        <v>21</v>
      </c>
    </row>
    <row r="9" ht="15.75">
      <c r="E9" s="23" t="s">
        <v>325</v>
      </c>
    </row>
    <row r="10" ht="15.75">
      <c r="E10" s="23" t="s">
        <v>326</v>
      </c>
    </row>
    <row r="11" ht="15.75">
      <c r="E11" s="23" t="s">
        <v>327</v>
      </c>
    </row>
    <row r="12" ht="15.75">
      <c r="E12" s="23" t="s">
        <v>328</v>
      </c>
    </row>
    <row r="13" ht="15.75">
      <c r="E13" s="23" t="s">
        <v>328</v>
      </c>
    </row>
    <row r="14" ht="15.75">
      <c r="E14" s="23" t="s">
        <v>329</v>
      </c>
    </row>
    <row r="15" ht="15.75">
      <c r="E15" s="23"/>
    </row>
    <row r="17" spans="1:2" ht="18">
      <c r="A17" s="24" t="s">
        <v>330</v>
      </c>
      <c r="B17" s="25"/>
    </row>
    <row r="18" spans="1:2" ht="15.75">
      <c r="A18" s="26" t="s">
        <v>352</v>
      </c>
      <c r="B18" s="10"/>
    </row>
    <row r="19" spans="1:2" ht="13.5">
      <c r="A19" s="28"/>
      <c r="B19" s="29" t="s">
        <v>332</v>
      </c>
    </row>
    <row r="20" spans="1:5" ht="13.5">
      <c r="A20" s="30" t="s">
        <v>333</v>
      </c>
      <c r="B20" s="30" t="s">
        <v>334</v>
      </c>
      <c r="C20" s="30" t="s">
        <v>335</v>
      </c>
      <c r="D20" s="30" t="s">
        <v>336</v>
      </c>
      <c r="E20" s="30" t="s">
        <v>337</v>
      </c>
    </row>
    <row r="21" spans="1:5" ht="12.75">
      <c r="A21" s="27" t="s">
        <v>1181</v>
      </c>
      <c r="B21" s="1" t="s">
        <v>332</v>
      </c>
      <c r="C21" s="1" t="s">
        <v>1215</v>
      </c>
      <c r="D21" s="1" t="s">
        <v>1216</v>
      </c>
      <c r="E21" s="4" t="s">
        <v>1217</v>
      </c>
    </row>
    <row r="22" spans="1:5" ht="12.75">
      <c r="A22" s="27" t="s">
        <v>1211</v>
      </c>
      <c r="B22" s="1" t="s">
        <v>332</v>
      </c>
      <c r="C22" s="1" t="s">
        <v>1215</v>
      </c>
      <c r="D22" s="1" t="s">
        <v>1218</v>
      </c>
      <c r="E22" s="4" t="s">
        <v>1219</v>
      </c>
    </row>
  </sheetData>
  <sheetProtection/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J5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workbookViewId="0" topLeftCell="A1">
      <selection activeCell="A21" sqref="A21"/>
    </sheetView>
  </sheetViews>
  <sheetFormatPr defaultColWidth="9.125" defaultRowHeight="12.75"/>
  <cols>
    <col min="1" max="1" width="28.25390625" style="4" bestFit="1" customWidth="1"/>
    <col min="2" max="2" width="21.375" style="1" bestFit="1" customWidth="1"/>
    <col min="3" max="3" width="10.625" style="1" bestFit="1" customWidth="1"/>
    <col min="4" max="4" width="9.25390625" style="1" bestFit="1" customWidth="1"/>
    <col min="5" max="5" width="22.75390625" style="5" bestFit="1" customWidth="1"/>
    <col min="6" max="6" width="25.625" style="5" bestFit="1" customWidth="1"/>
    <col min="7" max="14" width="4.625" style="1" bestFit="1" customWidth="1"/>
    <col min="15" max="15" width="7.875" style="4" bestFit="1" customWidth="1"/>
    <col min="16" max="16" width="7.625" style="1" bestFit="1" customWidth="1"/>
    <col min="17" max="17" width="8.875" style="5" bestFit="1" customWidth="1"/>
    <col min="18" max="16384" width="9.125" style="1" customWidth="1"/>
  </cols>
  <sheetData>
    <row r="1" spans="1:17" ht="15" customHeight="1">
      <c r="A1" s="39" t="s">
        <v>1426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ht="66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s="2" customFormat="1" ht="12.75" customHeight="1">
      <c r="A3" s="45" t="s">
        <v>0</v>
      </c>
      <c r="B3" s="47" t="s">
        <v>9</v>
      </c>
      <c r="C3" s="37" t="s">
        <v>3</v>
      </c>
      <c r="D3" s="37" t="s">
        <v>11</v>
      </c>
      <c r="E3" s="37" t="s">
        <v>6</v>
      </c>
      <c r="F3" s="37" t="s">
        <v>8</v>
      </c>
      <c r="G3" s="37" t="s">
        <v>1427</v>
      </c>
      <c r="H3" s="37"/>
      <c r="I3" s="37"/>
      <c r="J3" s="37"/>
      <c r="K3" s="37" t="s">
        <v>1428</v>
      </c>
      <c r="L3" s="37"/>
      <c r="M3" s="37"/>
      <c r="N3" s="37"/>
      <c r="O3" s="37" t="s">
        <v>2</v>
      </c>
      <c r="P3" s="37" t="s">
        <v>5</v>
      </c>
      <c r="Q3" s="48" t="s">
        <v>4</v>
      </c>
    </row>
    <row r="4" spans="1:17" s="2" customFormat="1" ht="21" customHeight="1" thickBot="1">
      <c r="A4" s="46"/>
      <c r="B4" s="38"/>
      <c r="C4" s="38"/>
      <c r="D4" s="38"/>
      <c r="E4" s="38"/>
      <c r="F4" s="38"/>
      <c r="G4" s="3">
        <v>1</v>
      </c>
      <c r="H4" s="3">
        <v>2</v>
      </c>
      <c r="I4" s="3">
        <v>3</v>
      </c>
      <c r="J4" s="3" t="s">
        <v>7</v>
      </c>
      <c r="K4" s="3">
        <v>1</v>
      </c>
      <c r="L4" s="3">
        <v>2</v>
      </c>
      <c r="M4" s="3">
        <v>3</v>
      </c>
      <c r="N4" s="3" t="s">
        <v>7</v>
      </c>
      <c r="O4" s="38"/>
      <c r="P4" s="38"/>
      <c r="Q4" s="49"/>
    </row>
    <row r="5" spans="1:16" ht="15.75">
      <c r="A5" s="35" t="s">
        <v>150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5"/>
      <c r="P5" s="36"/>
    </row>
    <row r="6" spans="1:17" ht="12.75">
      <c r="A6" s="11" t="s">
        <v>1429</v>
      </c>
      <c r="B6" s="12" t="s">
        <v>1430</v>
      </c>
      <c r="C6" s="12" t="s">
        <v>1431</v>
      </c>
      <c r="D6" s="12" t="str">
        <f>"0,6367"</f>
        <v>0,6367</v>
      </c>
      <c r="E6" s="13" t="s">
        <v>34</v>
      </c>
      <c r="F6" s="13" t="s">
        <v>35</v>
      </c>
      <c r="G6" s="14" t="s">
        <v>100</v>
      </c>
      <c r="H6" s="12" t="s">
        <v>101</v>
      </c>
      <c r="I6" s="14" t="s">
        <v>110</v>
      </c>
      <c r="J6" s="14"/>
      <c r="K6" s="12" t="s">
        <v>44</v>
      </c>
      <c r="L6" s="14" t="s">
        <v>488</v>
      </c>
      <c r="M6" s="12" t="s">
        <v>488</v>
      </c>
      <c r="N6" s="14"/>
      <c r="O6" s="11" t="s">
        <v>1432</v>
      </c>
      <c r="P6" s="12" t="str">
        <f>"90,7297"</f>
        <v>90,7297</v>
      </c>
      <c r="Q6" s="13" t="s">
        <v>21</v>
      </c>
    </row>
    <row r="7" spans="1:17" ht="12.75">
      <c r="A7" s="15" t="s">
        <v>1433</v>
      </c>
      <c r="B7" s="16" t="s">
        <v>1434</v>
      </c>
      <c r="C7" s="16" t="s">
        <v>1292</v>
      </c>
      <c r="D7" s="16" t="str">
        <f>"0,6298"</f>
        <v>0,6298</v>
      </c>
      <c r="E7" s="17" t="s">
        <v>1435</v>
      </c>
      <c r="F7" s="17" t="s">
        <v>1436</v>
      </c>
      <c r="G7" s="16" t="s">
        <v>109</v>
      </c>
      <c r="H7" s="16" t="s">
        <v>127</v>
      </c>
      <c r="I7" s="16" t="s">
        <v>67</v>
      </c>
      <c r="J7" s="18"/>
      <c r="K7" s="16" t="s">
        <v>488</v>
      </c>
      <c r="L7" s="18" t="s">
        <v>74</v>
      </c>
      <c r="M7" s="18" t="s">
        <v>74</v>
      </c>
      <c r="N7" s="18"/>
      <c r="O7" s="15" t="s">
        <v>1437</v>
      </c>
      <c r="P7" s="16" t="str">
        <f>"83,4485"</f>
        <v>83,4485</v>
      </c>
      <c r="Q7" s="17" t="s">
        <v>21</v>
      </c>
    </row>
    <row r="9" spans="1:16" ht="15.75">
      <c r="A9" s="33" t="s">
        <v>1438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3"/>
      <c r="P9" s="34"/>
    </row>
    <row r="10" spans="1:17" ht="12.75">
      <c r="A10" s="6" t="s">
        <v>1439</v>
      </c>
      <c r="B10" s="7" t="s">
        <v>1440</v>
      </c>
      <c r="C10" s="7" t="s">
        <v>1441</v>
      </c>
      <c r="D10" s="7" t="str">
        <f>"0,5410"</f>
        <v>0,5410</v>
      </c>
      <c r="E10" s="8" t="s">
        <v>440</v>
      </c>
      <c r="F10" s="8" t="s">
        <v>1442</v>
      </c>
      <c r="G10" s="7" t="s">
        <v>739</v>
      </c>
      <c r="H10" s="7" t="s">
        <v>109</v>
      </c>
      <c r="I10" s="7" t="s">
        <v>115</v>
      </c>
      <c r="J10" s="9"/>
      <c r="K10" s="7" t="s">
        <v>36</v>
      </c>
      <c r="L10" s="7" t="s">
        <v>109</v>
      </c>
      <c r="M10" s="9" t="s">
        <v>127</v>
      </c>
      <c r="N10" s="9"/>
      <c r="O10" s="6" t="s">
        <v>236</v>
      </c>
      <c r="P10" s="7" t="str">
        <f>"89,2650"</f>
        <v>89,2650</v>
      </c>
      <c r="Q10" s="8" t="s">
        <v>21</v>
      </c>
    </row>
    <row r="12" ht="15.75">
      <c r="E12" s="23" t="s">
        <v>325</v>
      </c>
    </row>
    <row r="13" ht="15.75">
      <c r="E13" s="23" t="s">
        <v>326</v>
      </c>
    </row>
    <row r="14" ht="15.75">
      <c r="E14" s="23" t="s">
        <v>327</v>
      </c>
    </row>
    <row r="15" ht="15.75">
      <c r="E15" s="23" t="s">
        <v>328</v>
      </c>
    </row>
    <row r="16" ht="15.75">
      <c r="E16" s="23" t="s">
        <v>328</v>
      </c>
    </row>
    <row r="17" ht="15.75">
      <c r="E17" s="23" t="s">
        <v>329</v>
      </c>
    </row>
    <row r="18" ht="15.75">
      <c r="E18" s="23"/>
    </row>
    <row r="20" spans="1:2" ht="18">
      <c r="A20" s="24" t="s">
        <v>330</v>
      </c>
      <c r="B20" s="25"/>
    </row>
    <row r="21" spans="1:2" ht="15.75">
      <c r="A21" s="26" t="s">
        <v>352</v>
      </c>
      <c r="B21" s="10"/>
    </row>
    <row r="22" spans="1:2" ht="13.5">
      <c r="A22" s="28"/>
      <c r="B22" s="29" t="s">
        <v>332</v>
      </c>
    </row>
    <row r="23" spans="1:5" ht="13.5">
      <c r="A23" s="30" t="s">
        <v>333</v>
      </c>
      <c r="B23" s="30" t="s">
        <v>334</v>
      </c>
      <c r="C23" s="30" t="s">
        <v>335</v>
      </c>
      <c r="D23" s="30" t="s">
        <v>336</v>
      </c>
      <c r="E23" s="30" t="s">
        <v>337</v>
      </c>
    </row>
    <row r="24" spans="1:5" ht="12.75">
      <c r="A24" s="27" t="s">
        <v>1429</v>
      </c>
      <c r="B24" s="1" t="s">
        <v>332</v>
      </c>
      <c r="C24" s="1" t="s">
        <v>368</v>
      </c>
      <c r="D24" s="1" t="s">
        <v>757</v>
      </c>
      <c r="E24" s="4" t="s">
        <v>1443</v>
      </c>
    </row>
    <row r="25" spans="1:5" ht="12.75">
      <c r="A25" s="27" t="s">
        <v>1439</v>
      </c>
      <c r="B25" s="1" t="s">
        <v>332</v>
      </c>
      <c r="C25" s="1" t="s">
        <v>379</v>
      </c>
      <c r="D25" s="1" t="s">
        <v>175</v>
      </c>
      <c r="E25" s="4" t="s">
        <v>1444</v>
      </c>
    </row>
    <row r="26" spans="1:5" ht="12.75">
      <c r="A26" s="27" t="s">
        <v>1433</v>
      </c>
      <c r="B26" s="1" t="s">
        <v>332</v>
      </c>
      <c r="C26" s="1" t="s">
        <v>368</v>
      </c>
      <c r="D26" s="1" t="s">
        <v>608</v>
      </c>
      <c r="E26" s="4" t="s">
        <v>1445</v>
      </c>
    </row>
  </sheetData>
  <sheetProtection/>
  <mergeCells count="14">
    <mergeCell ref="K3:N3"/>
    <mergeCell ref="O3:O4"/>
    <mergeCell ref="P3:P4"/>
    <mergeCell ref="Q3:Q4"/>
    <mergeCell ref="A5:P5"/>
    <mergeCell ref="A9:P9"/>
    <mergeCell ref="A1:Q2"/>
    <mergeCell ref="A3:A4"/>
    <mergeCell ref="B3:B4"/>
    <mergeCell ref="C3:C4"/>
    <mergeCell ref="D3:D4"/>
    <mergeCell ref="E3:E4"/>
    <mergeCell ref="F3:F4"/>
    <mergeCell ref="G3:J3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workbookViewId="0" topLeftCell="A1">
      <selection activeCell="C22" sqref="C22"/>
    </sheetView>
  </sheetViews>
  <sheetFormatPr defaultColWidth="9.125" defaultRowHeight="12.75"/>
  <cols>
    <col min="1" max="1" width="28.25390625" style="4" bestFit="1" customWidth="1"/>
    <col min="2" max="2" width="21.375" style="1" bestFit="1" customWidth="1"/>
    <col min="3" max="3" width="10.625" style="1" bestFit="1" customWidth="1"/>
    <col min="4" max="4" width="9.25390625" style="1" bestFit="1" customWidth="1"/>
    <col min="5" max="5" width="22.75390625" style="5" bestFit="1" customWidth="1"/>
    <col min="6" max="6" width="41.00390625" style="5" bestFit="1" customWidth="1"/>
    <col min="7" max="9" width="5.625" style="1" bestFit="1" customWidth="1"/>
    <col min="10" max="14" width="4.625" style="1" bestFit="1" customWidth="1"/>
    <col min="15" max="15" width="7.875" style="4" bestFit="1" customWidth="1"/>
    <col min="16" max="16" width="8.625" style="1" bestFit="1" customWidth="1"/>
    <col min="17" max="17" width="8.875" style="5" bestFit="1" customWidth="1"/>
    <col min="18" max="16384" width="9.125" style="1" customWidth="1"/>
  </cols>
  <sheetData>
    <row r="1" spans="1:17" ht="15" customHeight="1">
      <c r="A1" s="39" t="s">
        <v>1446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ht="66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s="2" customFormat="1" ht="12.75" customHeight="1">
      <c r="A3" s="45" t="s">
        <v>0</v>
      </c>
      <c r="B3" s="47" t="s">
        <v>9</v>
      </c>
      <c r="C3" s="37" t="s">
        <v>3</v>
      </c>
      <c r="D3" s="37" t="s">
        <v>11</v>
      </c>
      <c r="E3" s="37" t="s">
        <v>6</v>
      </c>
      <c r="F3" s="37" t="s">
        <v>8</v>
      </c>
      <c r="G3" s="37" t="s">
        <v>1428</v>
      </c>
      <c r="H3" s="37"/>
      <c r="I3" s="37"/>
      <c r="J3" s="37"/>
      <c r="K3" s="37" t="s">
        <v>1427</v>
      </c>
      <c r="L3" s="37"/>
      <c r="M3" s="37"/>
      <c r="N3" s="37"/>
      <c r="O3" s="37" t="s">
        <v>2</v>
      </c>
      <c r="P3" s="37" t="s">
        <v>5</v>
      </c>
      <c r="Q3" s="48" t="s">
        <v>4</v>
      </c>
    </row>
    <row r="4" spans="1:17" s="2" customFormat="1" ht="21" customHeight="1" thickBot="1">
      <c r="A4" s="46"/>
      <c r="B4" s="38"/>
      <c r="C4" s="38"/>
      <c r="D4" s="38"/>
      <c r="E4" s="38"/>
      <c r="F4" s="38"/>
      <c r="G4" s="3">
        <v>1</v>
      </c>
      <c r="H4" s="3">
        <v>2</v>
      </c>
      <c r="I4" s="3">
        <v>3</v>
      </c>
      <c r="J4" s="3" t="s">
        <v>7</v>
      </c>
      <c r="K4" s="3">
        <v>1</v>
      </c>
      <c r="L4" s="3">
        <v>2</v>
      </c>
      <c r="M4" s="3">
        <v>3</v>
      </c>
      <c r="N4" s="3" t="s">
        <v>7</v>
      </c>
      <c r="O4" s="38"/>
      <c r="P4" s="38"/>
      <c r="Q4" s="49"/>
    </row>
    <row r="5" spans="1:16" ht="15.75">
      <c r="A5" s="35" t="s">
        <v>56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5"/>
      <c r="P5" s="36"/>
    </row>
    <row r="6" spans="1:17" ht="12.75">
      <c r="A6" s="11" t="s">
        <v>1114</v>
      </c>
      <c r="B6" s="12" t="s">
        <v>1115</v>
      </c>
      <c r="C6" s="12" t="s">
        <v>1447</v>
      </c>
      <c r="D6" s="12" t="str">
        <f>"1,0817"</f>
        <v>1,0817</v>
      </c>
      <c r="E6" s="13" t="s">
        <v>499</v>
      </c>
      <c r="F6" s="13" t="s">
        <v>500</v>
      </c>
      <c r="G6" s="12" t="s">
        <v>1112</v>
      </c>
      <c r="H6" s="14" t="s">
        <v>1448</v>
      </c>
      <c r="I6" s="12" t="s">
        <v>1449</v>
      </c>
      <c r="J6" s="14"/>
      <c r="K6" s="12" t="s">
        <v>1112</v>
      </c>
      <c r="L6" s="12" t="s">
        <v>1448</v>
      </c>
      <c r="M6" s="12" t="s">
        <v>1449</v>
      </c>
      <c r="N6" s="14"/>
      <c r="O6" s="11" t="s">
        <v>1450</v>
      </c>
      <c r="P6" s="12" t="str">
        <f>"37,8578"</f>
        <v>37,8578</v>
      </c>
      <c r="Q6" s="13" t="s">
        <v>21</v>
      </c>
    </row>
    <row r="7" spans="1:17" ht="12.75">
      <c r="A7" s="15" t="s">
        <v>1109</v>
      </c>
      <c r="B7" s="16" t="s">
        <v>1110</v>
      </c>
      <c r="C7" s="16" t="s">
        <v>1111</v>
      </c>
      <c r="D7" s="16" t="str">
        <f>"1,1938"</f>
        <v>1,1938</v>
      </c>
      <c r="E7" s="17" t="s">
        <v>499</v>
      </c>
      <c r="F7" s="17" t="s">
        <v>500</v>
      </c>
      <c r="G7" s="16" t="s">
        <v>1451</v>
      </c>
      <c r="H7" s="16" t="s">
        <v>1452</v>
      </c>
      <c r="I7" s="16" t="s">
        <v>1112</v>
      </c>
      <c r="J7" s="18"/>
      <c r="K7" s="16" t="s">
        <v>1451</v>
      </c>
      <c r="L7" s="16" t="s">
        <v>1453</v>
      </c>
      <c r="M7" s="16" t="s">
        <v>1452</v>
      </c>
      <c r="N7" s="18"/>
      <c r="O7" s="15" t="s">
        <v>470</v>
      </c>
      <c r="P7" s="16" t="str">
        <f>"26,8605"</f>
        <v>26,8605</v>
      </c>
      <c r="Q7" s="17" t="s">
        <v>21</v>
      </c>
    </row>
    <row r="9" spans="1:16" ht="15.75">
      <c r="A9" s="33" t="s">
        <v>150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3"/>
      <c r="P9" s="34"/>
    </row>
    <row r="10" spans="1:17" ht="12.75">
      <c r="A10" s="6" t="s">
        <v>1454</v>
      </c>
      <c r="B10" s="7" t="s">
        <v>1455</v>
      </c>
      <c r="C10" s="7" t="s">
        <v>1456</v>
      </c>
      <c r="D10" s="7" t="str">
        <f>"0,6391"</f>
        <v>0,6391</v>
      </c>
      <c r="E10" s="8" t="s">
        <v>804</v>
      </c>
      <c r="F10" s="8" t="s">
        <v>805</v>
      </c>
      <c r="G10" s="7" t="s">
        <v>60</v>
      </c>
      <c r="H10" s="9" t="s">
        <v>99</v>
      </c>
      <c r="I10" s="7" t="s">
        <v>99</v>
      </c>
      <c r="J10" s="9"/>
      <c r="K10" s="7" t="s">
        <v>488</v>
      </c>
      <c r="L10" s="9" t="s">
        <v>109</v>
      </c>
      <c r="M10" s="9" t="s">
        <v>99</v>
      </c>
      <c r="N10" s="9"/>
      <c r="O10" s="6" t="s">
        <v>249</v>
      </c>
      <c r="P10" s="7" t="str">
        <f>"86,2785"</f>
        <v>86,2785</v>
      </c>
      <c r="Q10" s="8" t="s">
        <v>21</v>
      </c>
    </row>
    <row r="11" spans="1:17" ht="12.75">
      <c r="A11" s="6" t="s">
        <v>1141</v>
      </c>
      <c r="B11" s="7" t="s">
        <v>1457</v>
      </c>
      <c r="C11" s="7" t="s">
        <v>1458</v>
      </c>
      <c r="D11" s="7" t="str">
        <f>"0,7014"</f>
        <v>0,7014</v>
      </c>
      <c r="E11" s="8" t="s">
        <v>499</v>
      </c>
      <c r="F11" s="8" t="s">
        <v>500</v>
      </c>
      <c r="G11" s="7" t="s">
        <v>739</v>
      </c>
      <c r="H11" s="7" t="s">
        <v>19</v>
      </c>
      <c r="I11" s="7" t="s">
        <v>44</v>
      </c>
      <c r="J11" s="9"/>
      <c r="K11" s="7" t="s">
        <v>738</v>
      </c>
      <c r="L11" s="7" t="s">
        <v>36</v>
      </c>
      <c r="M11" s="7" t="s">
        <v>18</v>
      </c>
      <c r="N11" s="9"/>
      <c r="O11" s="6" t="s">
        <v>144</v>
      </c>
      <c r="P11" s="7" t="str">
        <f>"70,1400"</f>
        <v>70,1400</v>
      </c>
      <c r="Q11" s="8" t="s">
        <v>21</v>
      </c>
    </row>
    <row r="12" spans="1:17" ht="12.75">
      <c r="A12" s="6" t="s">
        <v>1130</v>
      </c>
      <c r="B12" s="7" t="s">
        <v>1459</v>
      </c>
      <c r="C12" s="7" t="s">
        <v>86</v>
      </c>
      <c r="D12" s="7" t="str">
        <f>"0,8748"</f>
        <v>0,8748</v>
      </c>
      <c r="E12" s="8" t="s">
        <v>499</v>
      </c>
      <c r="F12" s="8" t="s">
        <v>500</v>
      </c>
      <c r="G12" s="7" t="s">
        <v>738</v>
      </c>
      <c r="H12" s="7" t="s">
        <v>19</v>
      </c>
      <c r="I12" s="7" t="s">
        <v>44</v>
      </c>
      <c r="J12" s="9"/>
      <c r="K12" s="7" t="s">
        <v>54</v>
      </c>
      <c r="L12" s="9" t="s">
        <v>740</v>
      </c>
      <c r="M12" s="9" t="s">
        <v>740</v>
      </c>
      <c r="N12" s="9"/>
      <c r="O12" s="6" t="s">
        <v>1460</v>
      </c>
      <c r="P12" s="7" t="str">
        <f>"72,1710"</f>
        <v>72,1710</v>
      </c>
      <c r="Q12" s="8" t="s">
        <v>21</v>
      </c>
    </row>
    <row r="13" spans="1:17" ht="12.75">
      <c r="A13" s="6" t="s">
        <v>1135</v>
      </c>
      <c r="B13" s="7" t="s">
        <v>1461</v>
      </c>
      <c r="C13" s="7" t="s">
        <v>1462</v>
      </c>
      <c r="D13" s="7" t="str">
        <f>"0,7753"</f>
        <v>0,7753</v>
      </c>
      <c r="E13" s="8" t="s">
        <v>499</v>
      </c>
      <c r="F13" s="8" t="s">
        <v>500</v>
      </c>
      <c r="G13" s="7" t="s">
        <v>54</v>
      </c>
      <c r="H13" s="9" t="s">
        <v>19</v>
      </c>
      <c r="I13" s="9" t="s">
        <v>19</v>
      </c>
      <c r="J13" s="9"/>
      <c r="K13" s="7" t="s">
        <v>54</v>
      </c>
      <c r="L13" s="7" t="s">
        <v>739</v>
      </c>
      <c r="M13" s="7" t="s">
        <v>36</v>
      </c>
      <c r="N13" s="9"/>
      <c r="O13" s="6" t="s">
        <v>1463</v>
      </c>
      <c r="P13" s="7" t="str">
        <f>"58,1475"</f>
        <v>58,1475</v>
      </c>
      <c r="Q13" s="8" t="s">
        <v>21</v>
      </c>
    </row>
    <row r="14" spans="1:17" ht="12.75">
      <c r="A14" s="6" t="s">
        <v>1125</v>
      </c>
      <c r="B14" s="7" t="s">
        <v>1464</v>
      </c>
      <c r="C14" s="7" t="s">
        <v>1465</v>
      </c>
      <c r="D14" s="7" t="str">
        <f>"1,3133"</f>
        <v>1,3133</v>
      </c>
      <c r="E14" s="8" t="s">
        <v>499</v>
      </c>
      <c r="F14" s="8" t="s">
        <v>500</v>
      </c>
      <c r="G14" s="7" t="s">
        <v>1112</v>
      </c>
      <c r="H14" s="7" t="s">
        <v>1448</v>
      </c>
      <c r="I14" s="7" t="s">
        <v>1449</v>
      </c>
      <c r="J14" s="9"/>
      <c r="K14" s="7" t="s">
        <v>1112</v>
      </c>
      <c r="L14" s="7" t="s">
        <v>1448</v>
      </c>
      <c r="M14" s="7" t="s">
        <v>1449</v>
      </c>
      <c r="N14" s="9"/>
      <c r="O14" s="6" t="s">
        <v>1450</v>
      </c>
      <c r="P14" s="7" t="str">
        <f>"45,9655"</f>
        <v>45,9655</v>
      </c>
      <c r="Q14" s="8" t="s">
        <v>21</v>
      </c>
    </row>
    <row r="16" spans="1:16" ht="15.75">
      <c r="A16" s="33" t="s">
        <v>259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3"/>
      <c r="P16" s="34"/>
    </row>
    <row r="17" spans="1:17" ht="12.75">
      <c r="A17" s="6" t="s">
        <v>535</v>
      </c>
      <c r="B17" s="7" t="s">
        <v>536</v>
      </c>
      <c r="C17" s="7" t="s">
        <v>434</v>
      </c>
      <c r="D17" s="7" t="str">
        <f>"0,5873"</f>
        <v>0,5873</v>
      </c>
      <c r="E17" s="8" t="s">
        <v>537</v>
      </c>
      <c r="F17" s="8" t="s">
        <v>538</v>
      </c>
      <c r="G17" s="7" t="s">
        <v>115</v>
      </c>
      <c r="H17" s="7" t="s">
        <v>143</v>
      </c>
      <c r="I17" s="7" t="s">
        <v>136</v>
      </c>
      <c r="J17" s="9"/>
      <c r="K17" s="7" t="s">
        <v>28</v>
      </c>
      <c r="L17" s="7" t="s">
        <v>109</v>
      </c>
      <c r="M17" s="7" t="s">
        <v>127</v>
      </c>
      <c r="N17" s="9"/>
      <c r="O17" s="6" t="s">
        <v>291</v>
      </c>
      <c r="P17" s="7" t="str">
        <f>"108,6505"</f>
        <v>108,6505</v>
      </c>
      <c r="Q17" s="8" t="s">
        <v>21</v>
      </c>
    </row>
    <row r="18" spans="1:17" ht="12.75">
      <c r="A18" s="6" t="s">
        <v>1466</v>
      </c>
      <c r="B18" s="7" t="s">
        <v>1467</v>
      </c>
      <c r="C18" s="7" t="s">
        <v>1468</v>
      </c>
      <c r="D18" s="7" t="str">
        <f>"0,5648"</f>
        <v>0,5648</v>
      </c>
      <c r="E18" s="8" t="s">
        <v>34</v>
      </c>
      <c r="F18" s="8" t="s">
        <v>35</v>
      </c>
      <c r="G18" s="7" t="s">
        <v>110</v>
      </c>
      <c r="H18" s="7" t="s">
        <v>115</v>
      </c>
      <c r="I18" s="7" t="s">
        <v>143</v>
      </c>
      <c r="J18" s="9"/>
      <c r="K18" s="7" t="s">
        <v>74</v>
      </c>
      <c r="L18" s="7" t="s">
        <v>109</v>
      </c>
      <c r="M18" s="7" t="s">
        <v>127</v>
      </c>
      <c r="N18" s="9"/>
      <c r="O18" s="6" t="s">
        <v>231</v>
      </c>
      <c r="P18" s="7" t="str">
        <f>"98,8400"</f>
        <v>98,8400</v>
      </c>
      <c r="Q18" s="8" t="s">
        <v>21</v>
      </c>
    </row>
    <row r="20" spans="1:16" ht="15.75">
      <c r="A20" s="33" t="s">
        <v>1438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3"/>
      <c r="P20" s="34"/>
    </row>
    <row r="21" spans="1:17" ht="12.75">
      <c r="A21" s="6" t="s">
        <v>613</v>
      </c>
      <c r="B21" s="7" t="s">
        <v>614</v>
      </c>
      <c r="C21" s="7" t="s">
        <v>1469</v>
      </c>
      <c r="D21" s="7" t="str">
        <f>"0,5300"</f>
        <v>0,5300</v>
      </c>
      <c r="E21" s="8" t="s">
        <v>133</v>
      </c>
      <c r="F21" s="8" t="s">
        <v>134</v>
      </c>
      <c r="G21" s="9" t="s">
        <v>136</v>
      </c>
      <c r="H21" s="7" t="s">
        <v>257</v>
      </c>
      <c r="I21" s="7" t="s">
        <v>1470</v>
      </c>
      <c r="J21" s="9"/>
      <c r="K21" s="7" t="s">
        <v>109</v>
      </c>
      <c r="L21" s="7" t="s">
        <v>127</v>
      </c>
      <c r="M21" s="7" t="s">
        <v>99</v>
      </c>
      <c r="N21" s="9"/>
      <c r="O21" s="6" t="s">
        <v>1471</v>
      </c>
      <c r="P21" s="7" t="str">
        <f>"107,3250"</f>
        <v>107,3250</v>
      </c>
      <c r="Q21" s="8" t="s">
        <v>21</v>
      </c>
    </row>
    <row r="23" ht="15.75">
      <c r="E23" s="23" t="s">
        <v>325</v>
      </c>
    </row>
    <row r="24" ht="15.75">
      <c r="E24" s="23" t="s">
        <v>326</v>
      </c>
    </row>
    <row r="25" ht="15.75">
      <c r="E25" s="23" t="s">
        <v>327</v>
      </c>
    </row>
    <row r="26" ht="15.75">
      <c r="E26" s="23" t="s">
        <v>328</v>
      </c>
    </row>
    <row r="27" ht="15.75">
      <c r="E27" s="23" t="s">
        <v>328</v>
      </c>
    </row>
    <row r="28" ht="15.75">
      <c r="E28" s="23" t="s">
        <v>329</v>
      </c>
    </row>
    <row r="29" ht="15.75">
      <c r="E29" s="23"/>
    </row>
    <row r="31" spans="1:2" ht="18">
      <c r="A31" s="24" t="s">
        <v>330</v>
      </c>
      <c r="B31" s="25"/>
    </row>
    <row r="32" spans="1:2" ht="15.75">
      <c r="A32" s="26" t="s">
        <v>331</v>
      </c>
      <c r="B32" s="10"/>
    </row>
    <row r="33" spans="1:2" ht="13.5">
      <c r="A33" s="28"/>
      <c r="B33" s="29" t="s">
        <v>332</v>
      </c>
    </row>
    <row r="34" spans="1:5" ht="13.5">
      <c r="A34" s="30" t="s">
        <v>333</v>
      </c>
      <c r="B34" s="30" t="s">
        <v>334</v>
      </c>
      <c r="C34" s="30" t="s">
        <v>335</v>
      </c>
      <c r="D34" s="30" t="s">
        <v>336</v>
      </c>
      <c r="E34" s="30" t="s">
        <v>337</v>
      </c>
    </row>
    <row r="35" spans="1:5" ht="12.75">
      <c r="A35" s="27" t="s">
        <v>1114</v>
      </c>
      <c r="B35" s="1" t="s">
        <v>332</v>
      </c>
      <c r="C35" s="1" t="s">
        <v>340</v>
      </c>
      <c r="D35" s="1" t="s">
        <v>738</v>
      </c>
      <c r="E35" s="4" t="s">
        <v>1472</v>
      </c>
    </row>
    <row r="36" spans="1:5" ht="12.75">
      <c r="A36" s="27" t="s">
        <v>1109</v>
      </c>
      <c r="B36" s="1" t="s">
        <v>332</v>
      </c>
      <c r="C36" s="1" t="s">
        <v>340</v>
      </c>
      <c r="D36" s="1" t="s">
        <v>81</v>
      </c>
      <c r="E36" s="4" t="s">
        <v>1473</v>
      </c>
    </row>
    <row r="39" spans="1:2" ht="15.75">
      <c r="A39" s="26" t="s">
        <v>352</v>
      </c>
      <c r="B39" s="10"/>
    </row>
    <row r="40" spans="1:2" ht="13.5">
      <c r="A40" s="28"/>
      <c r="B40" s="29" t="s">
        <v>332</v>
      </c>
    </row>
    <row r="41" spans="1:5" ht="13.5">
      <c r="A41" s="30" t="s">
        <v>333</v>
      </c>
      <c r="B41" s="30" t="s">
        <v>334</v>
      </c>
      <c r="C41" s="30" t="s">
        <v>335</v>
      </c>
      <c r="D41" s="30" t="s">
        <v>336</v>
      </c>
      <c r="E41" s="30" t="s">
        <v>337</v>
      </c>
    </row>
    <row r="42" spans="1:5" ht="12.75">
      <c r="A42" s="27" t="s">
        <v>535</v>
      </c>
      <c r="B42" s="1" t="s">
        <v>332</v>
      </c>
      <c r="C42" s="1" t="s">
        <v>370</v>
      </c>
      <c r="D42" s="1" t="s">
        <v>225</v>
      </c>
      <c r="E42" s="4" t="s">
        <v>1474</v>
      </c>
    </row>
    <row r="43" spans="1:5" ht="12.75">
      <c r="A43" s="27" t="s">
        <v>613</v>
      </c>
      <c r="B43" s="1" t="s">
        <v>332</v>
      </c>
      <c r="C43" s="1" t="s">
        <v>403</v>
      </c>
      <c r="D43" s="1" t="s">
        <v>530</v>
      </c>
      <c r="E43" s="4" t="s">
        <v>1475</v>
      </c>
    </row>
    <row r="44" spans="1:5" ht="12.75">
      <c r="A44" s="27" t="s">
        <v>1466</v>
      </c>
      <c r="B44" s="1" t="s">
        <v>332</v>
      </c>
      <c r="C44" s="1" t="s">
        <v>363</v>
      </c>
      <c r="D44" s="1" t="s">
        <v>162</v>
      </c>
      <c r="E44" s="4" t="s">
        <v>1476</v>
      </c>
    </row>
    <row r="45" spans="1:5" ht="12.75">
      <c r="A45" s="27" t="s">
        <v>1454</v>
      </c>
      <c r="B45" s="1" t="s">
        <v>332</v>
      </c>
      <c r="C45" s="1" t="s">
        <v>368</v>
      </c>
      <c r="D45" s="1" t="s">
        <v>219</v>
      </c>
      <c r="E45" s="4" t="s">
        <v>1477</v>
      </c>
    </row>
    <row r="46" spans="1:5" ht="12.75">
      <c r="A46" s="27" t="s">
        <v>1130</v>
      </c>
      <c r="B46" s="1" t="s">
        <v>332</v>
      </c>
      <c r="C46" s="1" t="s">
        <v>344</v>
      </c>
      <c r="D46" s="1" t="s">
        <v>1071</v>
      </c>
      <c r="E46" s="4" t="s">
        <v>1478</v>
      </c>
    </row>
    <row r="47" spans="1:5" ht="12.75">
      <c r="A47" s="27" t="s">
        <v>1141</v>
      </c>
      <c r="B47" s="1" t="s">
        <v>332</v>
      </c>
      <c r="C47" s="1" t="s">
        <v>392</v>
      </c>
      <c r="D47" s="1" t="s">
        <v>143</v>
      </c>
      <c r="E47" s="4" t="s">
        <v>1479</v>
      </c>
    </row>
    <row r="48" spans="1:5" ht="12.75">
      <c r="A48" s="27" t="s">
        <v>1135</v>
      </c>
      <c r="B48" s="1" t="s">
        <v>332</v>
      </c>
      <c r="C48" s="1" t="s">
        <v>355</v>
      </c>
      <c r="D48" s="1" t="s">
        <v>127</v>
      </c>
      <c r="E48" s="4" t="s">
        <v>1480</v>
      </c>
    </row>
    <row r="49" spans="1:5" ht="12.75">
      <c r="A49" s="27" t="s">
        <v>1125</v>
      </c>
      <c r="B49" s="1" t="s">
        <v>332</v>
      </c>
      <c r="C49" s="1" t="s">
        <v>338</v>
      </c>
      <c r="D49" s="1" t="s">
        <v>738</v>
      </c>
      <c r="E49" s="4" t="s">
        <v>1481</v>
      </c>
    </row>
  </sheetData>
  <sheetProtection/>
  <mergeCells count="16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  <mergeCell ref="A5:P5"/>
    <mergeCell ref="A9:P9"/>
    <mergeCell ref="A16:P16"/>
    <mergeCell ref="A20:P20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workbookViewId="0" topLeftCell="A63">
      <selection activeCell="A65" sqref="A65"/>
    </sheetView>
  </sheetViews>
  <sheetFormatPr defaultColWidth="9.125" defaultRowHeight="12.75"/>
  <cols>
    <col min="1" max="1" width="28.25390625" style="4" bestFit="1" customWidth="1"/>
    <col min="2" max="2" width="26.875" style="1" bestFit="1" customWidth="1"/>
    <col min="3" max="3" width="10.625" style="1" bestFit="1" customWidth="1"/>
    <col min="4" max="4" width="9.25390625" style="1" bestFit="1" customWidth="1"/>
    <col min="5" max="5" width="22.75390625" style="5" bestFit="1" customWidth="1"/>
    <col min="6" max="6" width="41.00390625" style="5" bestFit="1" customWidth="1"/>
    <col min="7" max="10" width="5.625" style="1" bestFit="1" customWidth="1"/>
    <col min="11" max="11" width="7.875" style="4" bestFit="1" customWidth="1"/>
    <col min="12" max="12" width="8.625" style="1" bestFit="1" customWidth="1"/>
    <col min="13" max="13" width="8.875" style="5" bestFit="1" customWidth="1"/>
    <col min="14" max="16384" width="9.125" style="1" customWidth="1"/>
  </cols>
  <sheetData>
    <row r="1" spans="1:13" ht="15" customHeight="1">
      <c r="A1" s="39" t="s">
        <v>465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66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2" customFormat="1" ht="12.75" customHeight="1">
      <c r="A3" s="45" t="s">
        <v>0</v>
      </c>
      <c r="B3" s="47" t="s">
        <v>9</v>
      </c>
      <c r="C3" s="37" t="s">
        <v>3</v>
      </c>
      <c r="D3" s="37" t="s">
        <v>11</v>
      </c>
      <c r="E3" s="37" t="s">
        <v>6</v>
      </c>
      <c r="F3" s="37" t="s">
        <v>8</v>
      </c>
      <c r="G3" s="37" t="s">
        <v>1</v>
      </c>
      <c r="H3" s="37"/>
      <c r="I3" s="37"/>
      <c r="J3" s="37"/>
      <c r="K3" s="37" t="s">
        <v>2</v>
      </c>
      <c r="L3" s="37" t="s">
        <v>5</v>
      </c>
      <c r="M3" s="48" t="s">
        <v>4</v>
      </c>
    </row>
    <row r="4" spans="1:13" s="2" customFormat="1" ht="21" customHeight="1" thickBot="1">
      <c r="A4" s="46"/>
      <c r="B4" s="38"/>
      <c r="C4" s="38"/>
      <c r="D4" s="38"/>
      <c r="E4" s="38"/>
      <c r="F4" s="38"/>
      <c r="G4" s="3">
        <v>1</v>
      </c>
      <c r="H4" s="3">
        <v>2</v>
      </c>
      <c r="I4" s="3">
        <v>3</v>
      </c>
      <c r="J4" s="3" t="s">
        <v>7</v>
      </c>
      <c r="K4" s="38"/>
      <c r="L4" s="38"/>
      <c r="M4" s="49"/>
    </row>
    <row r="5" spans="1:12" ht="15.75">
      <c r="A5" s="35" t="s">
        <v>466</v>
      </c>
      <c r="B5" s="36"/>
      <c r="C5" s="36"/>
      <c r="D5" s="36"/>
      <c r="E5" s="36"/>
      <c r="F5" s="36"/>
      <c r="G5" s="36"/>
      <c r="H5" s="36"/>
      <c r="I5" s="36"/>
      <c r="J5" s="36"/>
      <c r="K5" s="35"/>
      <c r="L5" s="36"/>
    </row>
    <row r="6" spans="1:13" ht="12.75">
      <c r="A6" s="6" t="s">
        <v>467</v>
      </c>
      <c r="B6" s="7" t="s">
        <v>468</v>
      </c>
      <c r="C6" s="7" t="s">
        <v>469</v>
      </c>
      <c r="D6" s="7" t="str">
        <f>"1,1938"</f>
        <v>1,1938</v>
      </c>
      <c r="E6" s="8" t="s">
        <v>26</v>
      </c>
      <c r="F6" s="8" t="s">
        <v>90</v>
      </c>
      <c r="G6" s="7" t="s">
        <v>52</v>
      </c>
      <c r="H6" s="7" t="s">
        <v>81</v>
      </c>
      <c r="I6" s="9" t="s">
        <v>53</v>
      </c>
      <c r="J6" s="9"/>
      <c r="K6" s="6" t="s">
        <v>470</v>
      </c>
      <c r="L6" s="7" t="str">
        <f>"33,0384"</f>
        <v>33,0384</v>
      </c>
      <c r="M6" s="8" t="s">
        <v>21</v>
      </c>
    </row>
    <row r="8" spans="1:12" ht="15.75">
      <c r="A8" s="33" t="s">
        <v>103</v>
      </c>
      <c r="B8" s="34"/>
      <c r="C8" s="34"/>
      <c r="D8" s="34"/>
      <c r="E8" s="34"/>
      <c r="F8" s="34"/>
      <c r="G8" s="34"/>
      <c r="H8" s="34"/>
      <c r="I8" s="34"/>
      <c r="J8" s="34"/>
      <c r="K8" s="33"/>
      <c r="L8" s="34"/>
    </row>
    <row r="9" spans="1:13" ht="12.75">
      <c r="A9" s="11" t="s">
        <v>471</v>
      </c>
      <c r="B9" s="12" t="s">
        <v>472</v>
      </c>
      <c r="C9" s="12" t="s">
        <v>473</v>
      </c>
      <c r="D9" s="12" t="str">
        <f>"0,8100"</f>
        <v>0,8100</v>
      </c>
      <c r="E9" s="13" t="s">
        <v>26</v>
      </c>
      <c r="F9" s="13" t="s">
        <v>90</v>
      </c>
      <c r="G9" s="12" t="s">
        <v>74</v>
      </c>
      <c r="H9" s="14" t="s">
        <v>28</v>
      </c>
      <c r="I9" s="14" t="s">
        <v>28</v>
      </c>
      <c r="J9" s="14"/>
      <c r="K9" s="11" t="s">
        <v>474</v>
      </c>
      <c r="L9" s="12" t="str">
        <f>"54,9180"</f>
        <v>54,9180</v>
      </c>
      <c r="M9" s="13" t="s">
        <v>21</v>
      </c>
    </row>
    <row r="10" spans="1:13" ht="12.75">
      <c r="A10" s="15" t="s">
        <v>475</v>
      </c>
      <c r="B10" s="16" t="s">
        <v>476</v>
      </c>
      <c r="C10" s="16" t="s">
        <v>477</v>
      </c>
      <c r="D10" s="16" t="str">
        <f>"0,8479"</f>
        <v>0,8479</v>
      </c>
      <c r="E10" s="17" t="s">
        <v>478</v>
      </c>
      <c r="F10" s="17" t="s">
        <v>479</v>
      </c>
      <c r="G10" s="16" t="s">
        <v>74</v>
      </c>
      <c r="H10" s="18" t="s">
        <v>29</v>
      </c>
      <c r="I10" s="18" t="s">
        <v>29</v>
      </c>
      <c r="J10" s="18"/>
      <c r="K10" s="15" t="s">
        <v>474</v>
      </c>
      <c r="L10" s="16" t="str">
        <f>"50,8740"</f>
        <v>50,8740</v>
      </c>
      <c r="M10" s="17" t="s">
        <v>21</v>
      </c>
    </row>
    <row r="12" spans="1:12" ht="15.75">
      <c r="A12" s="33" t="s">
        <v>214</v>
      </c>
      <c r="B12" s="34"/>
      <c r="C12" s="34"/>
      <c r="D12" s="34"/>
      <c r="E12" s="34"/>
      <c r="F12" s="34"/>
      <c r="G12" s="34"/>
      <c r="H12" s="34"/>
      <c r="I12" s="34"/>
      <c r="J12" s="34"/>
      <c r="K12" s="33"/>
      <c r="L12" s="34"/>
    </row>
    <row r="13" spans="1:13" ht="12.75">
      <c r="A13" s="6" t="s">
        <v>480</v>
      </c>
      <c r="B13" s="7" t="s">
        <v>481</v>
      </c>
      <c r="C13" s="7" t="s">
        <v>482</v>
      </c>
      <c r="D13" s="7" t="str">
        <f>"0,6357"</f>
        <v>0,6357</v>
      </c>
      <c r="E13" s="8" t="s">
        <v>34</v>
      </c>
      <c r="F13" s="8" t="s">
        <v>35</v>
      </c>
      <c r="G13" s="7" t="s">
        <v>45</v>
      </c>
      <c r="H13" s="7" t="s">
        <v>74</v>
      </c>
      <c r="I13" s="9" t="s">
        <v>28</v>
      </c>
      <c r="J13" s="9"/>
      <c r="K13" s="6" t="s">
        <v>474</v>
      </c>
      <c r="L13" s="7" t="str">
        <f>"38,1450"</f>
        <v>38,1450</v>
      </c>
      <c r="M13" s="8" t="s">
        <v>21</v>
      </c>
    </row>
    <row r="15" spans="1:12" ht="15.75">
      <c r="A15" s="33" t="s">
        <v>38</v>
      </c>
      <c r="B15" s="34"/>
      <c r="C15" s="34"/>
      <c r="D15" s="34"/>
      <c r="E15" s="34"/>
      <c r="F15" s="34"/>
      <c r="G15" s="34"/>
      <c r="H15" s="34"/>
      <c r="I15" s="34"/>
      <c r="J15" s="34"/>
      <c r="K15" s="33"/>
      <c r="L15" s="34"/>
    </row>
    <row r="16" spans="1:13" ht="12.75">
      <c r="A16" s="6" t="s">
        <v>483</v>
      </c>
      <c r="B16" s="7" t="s">
        <v>484</v>
      </c>
      <c r="C16" s="7" t="s">
        <v>86</v>
      </c>
      <c r="D16" s="7" t="str">
        <f>"0,8748"</f>
        <v>0,8748</v>
      </c>
      <c r="E16" s="8" t="s">
        <v>72</v>
      </c>
      <c r="F16" s="8" t="s">
        <v>73</v>
      </c>
      <c r="G16" s="9" t="s">
        <v>180</v>
      </c>
      <c r="H16" s="9" t="s">
        <v>82</v>
      </c>
      <c r="I16" s="9" t="s">
        <v>82</v>
      </c>
      <c r="J16" s="9"/>
      <c r="K16" s="6" t="s">
        <v>68</v>
      </c>
      <c r="L16" s="7" t="str">
        <f>"0,0000"</f>
        <v>0,0000</v>
      </c>
      <c r="M16" s="8" t="s">
        <v>21</v>
      </c>
    </row>
    <row r="18" spans="1:12" ht="15.75">
      <c r="A18" s="33" t="s">
        <v>56</v>
      </c>
      <c r="B18" s="34"/>
      <c r="C18" s="34"/>
      <c r="D18" s="34"/>
      <c r="E18" s="34"/>
      <c r="F18" s="34"/>
      <c r="G18" s="34"/>
      <c r="H18" s="34"/>
      <c r="I18" s="34"/>
      <c r="J18" s="34"/>
      <c r="K18" s="33"/>
      <c r="L18" s="34"/>
    </row>
    <row r="19" spans="1:13" ht="12.75">
      <c r="A19" s="11" t="s">
        <v>485</v>
      </c>
      <c r="B19" s="12" t="s">
        <v>486</v>
      </c>
      <c r="C19" s="12" t="s">
        <v>487</v>
      </c>
      <c r="D19" s="12" t="str">
        <f>"0,8338"</f>
        <v>0,8338</v>
      </c>
      <c r="E19" s="13" t="s">
        <v>72</v>
      </c>
      <c r="F19" s="13" t="s">
        <v>73</v>
      </c>
      <c r="G19" s="12" t="s">
        <v>19</v>
      </c>
      <c r="H19" s="12" t="s">
        <v>488</v>
      </c>
      <c r="I19" s="14" t="s">
        <v>45</v>
      </c>
      <c r="J19" s="14"/>
      <c r="K19" s="11" t="s">
        <v>489</v>
      </c>
      <c r="L19" s="12" t="str">
        <f>"54,1104"</f>
        <v>54,1104</v>
      </c>
      <c r="M19" s="13" t="s">
        <v>21</v>
      </c>
    </row>
    <row r="20" spans="1:13" ht="12.75">
      <c r="A20" s="15" t="s">
        <v>490</v>
      </c>
      <c r="B20" s="16" t="s">
        <v>491</v>
      </c>
      <c r="C20" s="16" t="s">
        <v>422</v>
      </c>
      <c r="D20" s="16" t="str">
        <f>"0,8128"</f>
        <v>0,8128</v>
      </c>
      <c r="E20" s="17" t="s">
        <v>26</v>
      </c>
      <c r="F20" s="17" t="s">
        <v>90</v>
      </c>
      <c r="G20" s="16" t="s">
        <v>100</v>
      </c>
      <c r="H20" s="16" t="s">
        <v>110</v>
      </c>
      <c r="I20" s="18" t="s">
        <v>115</v>
      </c>
      <c r="J20" s="18"/>
      <c r="K20" s="15" t="s">
        <v>116</v>
      </c>
      <c r="L20" s="16" t="str">
        <f>"76,0781"</f>
        <v>76,0781</v>
      </c>
      <c r="M20" s="17" t="s">
        <v>21</v>
      </c>
    </row>
    <row r="22" spans="1:12" ht="15.75">
      <c r="A22" s="33" t="s">
        <v>103</v>
      </c>
      <c r="B22" s="34"/>
      <c r="C22" s="34"/>
      <c r="D22" s="34"/>
      <c r="E22" s="34"/>
      <c r="F22" s="34"/>
      <c r="G22" s="34"/>
      <c r="H22" s="34"/>
      <c r="I22" s="34"/>
      <c r="J22" s="34"/>
      <c r="K22" s="33"/>
      <c r="L22" s="34"/>
    </row>
    <row r="23" spans="1:13" ht="12.75">
      <c r="A23" s="11" t="s">
        <v>492</v>
      </c>
      <c r="B23" s="12" t="s">
        <v>493</v>
      </c>
      <c r="C23" s="12" t="s">
        <v>494</v>
      </c>
      <c r="D23" s="12" t="str">
        <f>"0,7327"</f>
        <v>0,7327</v>
      </c>
      <c r="E23" s="13" t="s">
        <v>478</v>
      </c>
      <c r="F23" s="13" t="s">
        <v>479</v>
      </c>
      <c r="G23" s="12" t="s">
        <v>187</v>
      </c>
      <c r="H23" s="12" t="s">
        <v>181</v>
      </c>
      <c r="I23" s="14" t="s">
        <v>168</v>
      </c>
      <c r="J23" s="14"/>
      <c r="K23" s="11" t="s">
        <v>200</v>
      </c>
      <c r="L23" s="12" t="str">
        <f>"120,7490"</f>
        <v>120,7490</v>
      </c>
      <c r="M23" s="13" t="s">
        <v>21</v>
      </c>
    </row>
    <row r="24" spans="1:13" ht="12.75">
      <c r="A24" s="15" t="s">
        <v>492</v>
      </c>
      <c r="B24" s="16" t="s">
        <v>495</v>
      </c>
      <c r="C24" s="16" t="s">
        <v>494</v>
      </c>
      <c r="D24" s="16" t="str">
        <f>"0,7327"</f>
        <v>0,7327</v>
      </c>
      <c r="E24" s="17" t="s">
        <v>478</v>
      </c>
      <c r="F24" s="17" t="s">
        <v>479</v>
      </c>
      <c r="G24" s="18" t="s">
        <v>187</v>
      </c>
      <c r="H24" s="18"/>
      <c r="I24" s="18"/>
      <c r="J24" s="18"/>
      <c r="K24" s="15" t="s">
        <v>68</v>
      </c>
      <c r="L24" s="16" t="str">
        <f>"0,0000"</f>
        <v>0,0000</v>
      </c>
      <c r="M24" s="17" t="s">
        <v>21</v>
      </c>
    </row>
    <row r="26" spans="1:12" ht="15.75">
      <c r="A26" s="33" t="s">
        <v>129</v>
      </c>
      <c r="B26" s="34"/>
      <c r="C26" s="34"/>
      <c r="D26" s="34"/>
      <c r="E26" s="34"/>
      <c r="F26" s="34"/>
      <c r="G26" s="34"/>
      <c r="H26" s="34"/>
      <c r="I26" s="34"/>
      <c r="J26" s="34"/>
      <c r="K26" s="33"/>
      <c r="L26" s="34"/>
    </row>
    <row r="27" spans="1:13" ht="12.75">
      <c r="A27" s="11" t="s">
        <v>496</v>
      </c>
      <c r="B27" s="12" t="s">
        <v>497</v>
      </c>
      <c r="C27" s="12" t="s">
        <v>498</v>
      </c>
      <c r="D27" s="12" t="str">
        <f>"0,7124"</f>
        <v>0,7124</v>
      </c>
      <c r="E27" s="13" t="s">
        <v>499</v>
      </c>
      <c r="F27" s="13" t="s">
        <v>500</v>
      </c>
      <c r="G27" s="12" t="s">
        <v>100</v>
      </c>
      <c r="H27" s="12" t="s">
        <v>115</v>
      </c>
      <c r="I27" s="12" t="s">
        <v>143</v>
      </c>
      <c r="J27" s="14"/>
      <c r="K27" s="11" t="s">
        <v>144</v>
      </c>
      <c r="L27" s="12" t="str">
        <f>"74,0844"</f>
        <v>74,0844</v>
      </c>
      <c r="M27" s="13" t="s">
        <v>21</v>
      </c>
    </row>
    <row r="28" spans="1:13" ht="12.75">
      <c r="A28" s="19" t="s">
        <v>501</v>
      </c>
      <c r="B28" s="20" t="s">
        <v>502</v>
      </c>
      <c r="C28" s="20" t="s">
        <v>503</v>
      </c>
      <c r="D28" s="20" t="str">
        <f>"0,6708"</f>
        <v>0,6708</v>
      </c>
      <c r="E28" s="21" t="s">
        <v>26</v>
      </c>
      <c r="F28" s="21" t="s">
        <v>90</v>
      </c>
      <c r="G28" s="20" t="s">
        <v>91</v>
      </c>
      <c r="H28" s="22" t="s">
        <v>92</v>
      </c>
      <c r="I28" s="22" t="s">
        <v>92</v>
      </c>
      <c r="J28" s="22"/>
      <c r="K28" s="19" t="s">
        <v>93</v>
      </c>
      <c r="L28" s="20" t="str">
        <f>"139,6270"</f>
        <v>139,6270</v>
      </c>
      <c r="M28" s="21" t="s">
        <v>21</v>
      </c>
    </row>
    <row r="29" spans="1:13" ht="12.75">
      <c r="A29" s="15" t="s">
        <v>504</v>
      </c>
      <c r="B29" s="16" t="s">
        <v>505</v>
      </c>
      <c r="C29" s="16" t="s">
        <v>506</v>
      </c>
      <c r="D29" s="16" t="str">
        <f>"0,7160"</f>
        <v>0,7160</v>
      </c>
      <c r="E29" s="17" t="s">
        <v>507</v>
      </c>
      <c r="F29" s="17" t="s">
        <v>507</v>
      </c>
      <c r="G29" s="16" t="s">
        <v>100</v>
      </c>
      <c r="H29" s="16" t="s">
        <v>110</v>
      </c>
      <c r="I29" s="16" t="s">
        <v>508</v>
      </c>
      <c r="J29" s="18"/>
      <c r="K29" s="15" t="s">
        <v>509</v>
      </c>
      <c r="L29" s="16" t="str">
        <f>"136,5567"</f>
        <v>136,5567</v>
      </c>
      <c r="M29" s="17" t="s">
        <v>21</v>
      </c>
    </row>
    <row r="31" spans="1:12" ht="15.75">
      <c r="A31" s="33" t="s">
        <v>150</v>
      </c>
      <c r="B31" s="34"/>
      <c r="C31" s="34"/>
      <c r="D31" s="34"/>
      <c r="E31" s="34"/>
      <c r="F31" s="34"/>
      <c r="G31" s="34"/>
      <c r="H31" s="34"/>
      <c r="I31" s="34"/>
      <c r="J31" s="34"/>
      <c r="K31" s="33"/>
      <c r="L31" s="34"/>
    </row>
    <row r="32" spans="1:13" ht="12.75">
      <c r="A32" s="6" t="s">
        <v>510</v>
      </c>
      <c r="B32" s="7" t="s">
        <v>511</v>
      </c>
      <c r="C32" s="7" t="s">
        <v>512</v>
      </c>
      <c r="D32" s="7" t="str">
        <f>"0,6233"</f>
        <v>0,6233</v>
      </c>
      <c r="E32" s="8" t="s">
        <v>34</v>
      </c>
      <c r="F32" s="8" t="s">
        <v>35</v>
      </c>
      <c r="G32" s="7" t="s">
        <v>180</v>
      </c>
      <c r="H32" s="7" t="s">
        <v>181</v>
      </c>
      <c r="I32" s="9" t="s">
        <v>162</v>
      </c>
      <c r="J32" s="9"/>
      <c r="K32" s="6" t="s">
        <v>200</v>
      </c>
      <c r="L32" s="7" t="str">
        <f>"99,7200"</f>
        <v>99,7200</v>
      </c>
      <c r="M32" s="8" t="s">
        <v>21</v>
      </c>
    </row>
    <row r="34" spans="1:12" ht="15.75">
      <c r="A34" s="33" t="s">
        <v>214</v>
      </c>
      <c r="B34" s="34"/>
      <c r="C34" s="34"/>
      <c r="D34" s="34"/>
      <c r="E34" s="34"/>
      <c r="F34" s="34"/>
      <c r="G34" s="34"/>
      <c r="H34" s="34"/>
      <c r="I34" s="34"/>
      <c r="J34" s="34"/>
      <c r="K34" s="33"/>
      <c r="L34" s="34"/>
    </row>
    <row r="35" spans="1:13" ht="12.75">
      <c r="A35" s="11" t="s">
        <v>513</v>
      </c>
      <c r="B35" s="12" t="s">
        <v>514</v>
      </c>
      <c r="C35" s="12" t="s">
        <v>515</v>
      </c>
      <c r="D35" s="12" t="str">
        <f>"0,5853"</f>
        <v>0,5853</v>
      </c>
      <c r="E35" s="13" t="s">
        <v>499</v>
      </c>
      <c r="F35" s="13" t="s">
        <v>500</v>
      </c>
      <c r="G35" s="12" t="s">
        <v>230</v>
      </c>
      <c r="H35" s="12" t="s">
        <v>225</v>
      </c>
      <c r="I35" s="14" t="s">
        <v>427</v>
      </c>
      <c r="J35" s="14"/>
      <c r="K35" s="11" t="s">
        <v>291</v>
      </c>
      <c r="L35" s="12" t="str">
        <f>"112,6117"</f>
        <v>112,6117</v>
      </c>
      <c r="M35" s="13" t="s">
        <v>21</v>
      </c>
    </row>
    <row r="36" spans="1:13" ht="12.75">
      <c r="A36" s="19" t="s">
        <v>516</v>
      </c>
      <c r="B36" s="20" t="s">
        <v>517</v>
      </c>
      <c r="C36" s="20" t="s">
        <v>518</v>
      </c>
      <c r="D36" s="20" t="str">
        <f>"0,5935"</f>
        <v>0,5935</v>
      </c>
      <c r="E36" s="21" t="s">
        <v>26</v>
      </c>
      <c r="F36" s="21" t="s">
        <v>90</v>
      </c>
      <c r="G36" s="20" t="s">
        <v>318</v>
      </c>
      <c r="H36" s="20" t="s">
        <v>319</v>
      </c>
      <c r="I36" s="22" t="s">
        <v>519</v>
      </c>
      <c r="J36" s="22"/>
      <c r="K36" s="19" t="s">
        <v>320</v>
      </c>
      <c r="L36" s="20" t="str">
        <f>"124,6350"</f>
        <v>124,6350</v>
      </c>
      <c r="M36" s="21" t="s">
        <v>21</v>
      </c>
    </row>
    <row r="37" spans="1:13" ht="12.75">
      <c r="A37" s="19" t="s">
        <v>520</v>
      </c>
      <c r="B37" s="20" t="s">
        <v>521</v>
      </c>
      <c r="C37" s="20" t="s">
        <v>522</v>
      </c>
      <c r="D37" s="20" t="str">
        <f>"0,5897"</f>
        <v>0,5897</v>
      </c>
      <c r="E37" s="21" t="s">
        <v>523</v>
      </c>
      <c r="F37" s="21" t="s">
        <v>524</v>
      </c>
      <c r="G37" s="20" t="s">
        <v>163</v>
      </c>
      <c r="H37" s="20" t="s">
        <v>290</v>
      </c>
      <c r="I37" s="22" t="s">
        <v>519</v>
      </c>
      <c r="J37" s="22"/>
      <c r="K37" s="19" t="s">
        <v>430</v>
      </c>
      <c r="L37" s="20" t="str">
        <f>"114,9915"</f>
        <v>114,9915</v>
      </c>
      <c r="M37" s="21" t="s">
        <v>21</v>
      </c>
    </row>
    <row r="38" spans="1:13" ht="12.75">
      <c r="A38" s="19" t="s">
        <v>525</v>
      </c>
      <c r="B38" s="20" t="s">
        <v>526</v>
      </c>
      <c r="C38" s="20" t="s">
        <v>527</v>
      </c>
      <c r="D38" s="20" t="str">
        <f>"0,5930"</f>
        <v>0,5930</v>
      </c>
      <c r="E38" s="21" t="s">
        <v>528</v>
      </c>
      <c r="F38" s="21" t="s">
        <v>529</v>
      </c>
      <c r="G38" s="20" t="s">
        <v>225</v>
      </c>
      <c r="H38" s="22" t="s">
        <v>290</v>
      </c>
      <c r="I38" s="22" t="s">
        <v>530</v>
      </c>
      <c r="J38" s="22"/>
      <c r="K38" s="19" t="s">
        <v>291</v>
      </c>
      <c r="L38" s="20" t="str">
        <f>"109,7050"</f>
        <v>109,7050</v>
      </c>
      <c r="M38" s="21" t="s">
        <v>21</v>
      </c>
    </row>
    <row r="39" spans="1:13" ht="12.75">
      <c r="A39" s="19" t="s">
        <v>516</v>
      </c>
      <c r="B39" s="20" t="s">
        <v>531</v>
      </c>
      <c r="C39" s="20" t="s">
        <v>518</v>
      </c>
      <c r="D39" s="20" t="str">
        <f>"0,5935"</f>
        <v>0,5935</v>
      </c>
      <c r="E39" s="21" t="s">
        <v>26</v>
      </c>
      <c r="F39" s="21" t="s">
        <v>90</v>
      </c>
      <c r="G39" s="20" t="s">
        <v>318</v>
      </c>
      <c r="H39" s="20" t="s">
        <v>319</v>
      </c>
      <c r="I39" s="22" t="s">
        <v>519</v>
      </c>
      <c r="J39" s="22"/>
      <c r="K39" s="19" t="s">
        <v>320</v>
      </c>
      <c r="L39" s="20" t="str">
        <f>"124,6350"</f>
        <v>124,6350</v>
      </c>
      <c r="M39" s="21" t="s">
        <v>21</v>
      </c>
    </row>
    <row r="40" spans="1:13" ht="12.75">
      <c r="A40" s="19" t="s">
        <v>532</v>
      </c>
      <c r="B40" s="20" t="s">
        <v>533</v>
      </c>
      <c r="C40" s="20" t="s">
        <v>534</v>
      </c>
      <c r="D40" s="20" t="str">
        <f>"0,5893"</f>
        <v>0,5893</v>
      </c>
      <c r="E40" s="21" t="s">
        <v>141</v>
      </c>
      <c r="F40" s="21" t="s">
        <v>142</v>
      </c>
      <c r="G40" s="20" t="s">
        <v>290</v>
      </c>
      <c r="H40" s="22" t="s">
        <v>318</v>
      </c>
      <c r="I40" s="20" t="s">
        <v>318</v>
      </c>
      <c r="J40" s="22"/>
      <c r="K40" s="19" t="s">
        <v>449</v>
      </c>
      <c r="L40" s="20" t="str">
        <f>"120,8065"</f>
        <v>120,8065</v>
      </c>
      <c r="M40" s="21" t="s">
        <v>21</v>
      </c>
    </row>
    <row r="41" spans="1:13" ht="12.75">
      <c r="A41" s="19" t="s">
        <v>535</v>
      </c>
      <c r="B41" s="20" t="s">
        <v>536</v>
      </c>
      <c r="C41" s="20" t="s">
        <v>434</v>
      </c>
      <c r="D41" s="20" t="str">
        <f>"0,5873"</f>
        <v>0,5873</v>
      </c>
      <c r="E41" s="21" t="s">
        <v>537</v>
      </c>
      <c r="F41" s="21" t="s">
        <v>538</v>
      </c>
      <c r="G41" s="20" t="s">
        <v>427</v>
      </c>
      <c r="H41" s="20" t="s">
        <v>428</v>
      </c>
      <c r="I41" s="20" t="s">
        <v>318</v>
      </c>
      <c r="J41" s="22"/>
      <c r="K41" s="19" t="s">
        <v>449</v>
      </c>
      <c r="L41" s="20" t="str">
        <f>"120,3965"</f>
        <v>120,3965</v>
      </c>
      <c r="M41" s="21" t="s">
        <v>21</v>
      </c>
    </row>
    <row r="42" spans="1:13" ht="12.75">
      <c r="A42" s="19" t="s">
        <v>539</v>
      </c>
      <c r="B42" s="20" t="s">
        <v>540</v>
      </c>
      <c r="C42" s="20" t="s">
        <v>541</v>
      </c>
      <c r="D42" s="20" t="str">
        <f>"0,5928"</f>
        <v>0,5928</v>
      </c>
      <c r="E42" s="21" t="s">
        <v>542</v>
      </c>
      <c r="F42" s="21" t="s">
        <v>543</v>
      </c>
      <c r="G42" s="20" t="s">
        <v>161</v>
      </c>
      <c r="H42" s="20" t="s">
        <v>163</v>
      </c>
      <c r="I42" s="22" t="s">
        <v>427</v>
      </c>
      <c r="J42" s="22"/>
      <c r="K42" s="19" t="s">
        <v>164</v>
      </c>
      <c r="L42" s="20" t="str">
        <f>"106,7040"</f>
        <v>106,7040</v>
      </c>
      <c r="M42" s="21" t="s">
        <v>21</v>
      </c>
    </row>
    <row r="43" spans="1:13" ht="12.75">
      <c r="A43" s="19" t="s">
        <v>544</v>
      </c>
      <c r="B43" s="20" t="s">
        <v>545</v>
      </c>
      <c r="C43" s="20" t="s">
        <v>546</v>
      </c>
      <c r="D43" s="20" t="str">
        <f>"0,5903"</f>
        <v>0,5903</v>
      </c>
      <c r="E43" s="21" t="s">
        <v>26</v>
      </c>
      <c r="F43" s="21" t="s">
        <v>90</v>
      </c>
      <c r="G43" s="20" t="s">
        <v>175</v>
      </c>
      <c r="H43" s="20" t="s">
        <v>168</v>
      </c>
      <c r="I43" s="20" t="s">
        <v>230</v>
      </c>
      <c r="J43" s="22"/>
      <c r="K43" s="19" t="s">
        <v>547</v>
      </c>
      <c r="L43" s="20" t="str">
        <f>"105,7213"</f>
        <v>105,7213</v>
      </c>
      <c r="M43" s="21" t="s">
        <v>21</v>
      </c>
    </row>
    <row r="44" spans="1:13" ht="12.75">
      <c r="A44" s="19" t="s">
        <v>539</v>
      </c>
      <c r="B44" s="20" t="s">
        <v>548</v>
      </c>
      <c r="C44" s="20" t="s">
        <v>541</v>
      </c>
      <c r="D44" s="20" t="str">
        <f>"0,5928"</f>
        <v>0,5928</v>
      </c>
      <c r="E44" s="21" t="s">
        <v>542</v>
      </c>
      <c r="F44" s="21" t="s">
        <v>543</v>
      </c>
      <c r="G44" s="20" t="s">
        <v>161</v>
      </c>
      <c r="H44" s="20" t="s">
        <v>163</v>
      </c>
      <c r="I44" s="22" t="s">
        <v>427</v>
      </c>
      <c r="J44" s="22"/>
      <c r="K44" s="19" t="s">
        <v>164</v>
      </c>
      <c r="L44" s="20" t="str">
        <f>"116,5208"</f>
        <v>116,5208</v>
      </c>
      <c r="M44" s="21" t="s">
        <v>21</v>
      </c>
    </row>
    <row r="45" spans="1:13" ht="12.75">
      <c r="A45" s="15" t="s">
        <v>549</v>
      </c>
      <c r="B45" s="16" t="s">
        <v>550</v>
      </c>
      <c r="C45" s="16" t="s">
        <v>434</v>
      </c>
      <c r="D45" s="16" t="str">
        <f>"0,5873"</f>
        <v>0,5873</v>
      </c>
      <c r="E45" s="17" t="s">
        <v>133</v>
      </c>
      <c r="F45" s="17" t="s">
        <v>90</v>
      </c>
      <c r="G45" s="16" t="s">
        <v>136</v>
      </c>
      <c r="H45" s="16" t="s">
        <v>91</v>
      </c>
      <c r="I45" s="18" t="s">
        <v>92</v>
      </c>
      <c r="J45" s="18"/>
      <c r="K45" s="15" t="s">
        <v>93</v>
      </c>
      <c r="L45" s="16" t="str">
        <f>"86,5181"</f>
        <v>86,5181</v>
      </c>
      <c r="M45" s="17" t="s">
        <v>21</v>
      </c>
    </row>
    <row r="47" spans="1:12" ht="15.75">
      <c r="A47" s="33" t="s">
        <v>259</v>
      </c>
      <c r="B47" s="34"/>
      <c r="C47" s="34"/>
      <c r="D47" s="34"/>
      <c r="E47" s="34"/>
      <c r="F47" s="34"/>
      <c r="G47" s="34"/>
      <c r="H47" s="34"/>
      <c r="I47" s="34"/>
      <c r="J47" s="34"/>
      <c r="K47" s="33"/>
      <c r="L47" s="34"/>
    </row>
    <row r="48" spans="1:13" ht="12.75">
      <c r="A48" s="11" t="s">
        <v>551</v>
      </c>
      <c r="B48" s="12" t="s">
        <v>552</v>
      </c>
      <c r="C48" s="12" t="s">
        <v>553</v>
      </c>
      <c r="D48" s="12" t="str">
        <f>"0,5694"</f>
        <v>0,5694</v>
      </c>
      <c r="E48" s="13" t="s">
        <v>554</v>
      </c>
      <c r="F48" s="13" t="s">
        <v>555</v>
      </c>
      <c r="G48" s="12" t="s">
        <v>154</v>
      </c>
      <c r="H48" s="12" t="s">
        <v>187</v>
      </c>
      <c r="I48" s="14" t="s">
        <v>181</v>
      </c>
      <c r="J48" s="14"/>
      <c r="K48" s="11" t="s">
        <v>556</v>
      </c>
      <c r="L48" s="12" t="str">
        <f>"92,2428"</f>
        <v>92,2428</v>
      </c>
      <c r="M48" s="13" t="s">
        <v>21</v>
      </c>
    </row>
    <row r="49" spans="1:13" ht="12.75">
      <c r="A49" s="19" t="s">
        <v>557</v>
      </c>
      <c r="B49" s="20" t="s">
        <v>558</v>
      </c>
      <c r="C49" s="20" t="s">
        <v>559</v>
      </c>
      <c r="D49" s="20" t="str">
        <f>"0,5599"</f>
        <v>0,5599</v>
      </c>
      <c r="E49" s="21" t="s">
        <v>34</v>
      </c>
      <c r="F49" s="21" t="s">
        <v>35</v>
      </c>
      <c r="G49" s="20" t="s">
        <v>319</v>
      </c>
      <c r="H49" s="22" t="s">
        <v>560</v>
      </c>
      <c r="I49" s="22" t="s">
        <v>560</v>
      </c>
      <c r="J49" s="22"/>
      <c r="K49" s="19" t="s">
        <v>320</v>
      </c>
      <c r="L49" s="20" t="str">
        <f>"117,5790"</f>
        <v>117,5790</v>
      </c>
      <c r="M49" s="21" t="s">
        <v>21</v>
      </c>
    </row>
    <row r="50" spans="1:13" ht="12.75">
      <c r="A50" s="19" t="s">
        <v>561</v>
      </c>
      <c r="B50" s="20" t="s">
        <v>562</v>
      </c>
      <c r="C50" s="20" t="s">
        <v>563</v>
      </c>
      <c r="D50" s="20" t="str">
        <f>"0,5695"</f>
        <v>0,5695</v>
      </c>
      <c r="E50" s="21" t="s">
        <v>26</v>
      </c>
      <c r="F50" s="21" t="s">
        <v>90</v>
      </c>
      <c r="G50" s="22" t="s">
        <v>163</v>
      </c>
      <c r="H50" s="20" t="s">
        <v>163</v>
      </c>
      <c r="I50" s="22" t="s">
        <v>225</v>
      </c>
      <c r="J50" s="22"/>
      <c r="K50" s="19" t="s">
        <v>164</v>
      </c>
      <c r="L50" s="20" t="str">
        <f>"102,5190"</f>
        <v>102,5190</v>
      </c>
      <c r="M50" s="21" t="s">
        <v>21</v>
      </c>
    </row>
    <row r="51" spans="1:13" ht="12.75">
      <c r="A51" s="19" t="s">
        <v>564</v>
      </c>
      <c r="B51" s="20" t="s">
        <v>565</v>
      </c>
      <c r="C51" s="20" t="s">
        <v>262</v>
      </c>
      <c r="D51" s="20" t="str">
        <f>"0,5563"</f>
        <v>0,5563</v>
      </c>
      <c r="E51" s="21" t="s">
        <v>42</v>
      </c>
      <c r="F51" s="21" t="s">
        <v>43</v>
      </c>
      <c r="G51" s="20" t="s">
        <v>175</v>
      </c>
      <c r="H51" s="20" t="s">
        <v>161</v>
      </c>
      <c r="I51" s="20" t="s">
        <v>162</v>
      </c>
      <c r="J51" s="22"/>
      <c r="K51" s="19" t="s">
        <v>231</v>
      </c>
      <c r="L51" s="20" t="str">
        <f>"97,3525"</f>
        <v>97,3525</v>
      </c>
      <c r="M51" s="21" t="s">
        <v>21</v>
      </c>
    </row>
    <row r="52" spans="1:13" ht="12.75">
      <c r="A52" s="19" t="s">
        <v>566</v>
      </c>
      <c r="B52" s="20" t="s">
        <v>567</v>
      </c>
      <c r="C52" s="20" t="s">
        <v>274</v>
      </c>
      <c r="D52" s="20" t="str">
        <f>"0,5543"</f>
        <v>0,5543</v>
      </c>
      <c r="E52" s="21" t="s">
        <v>34</v>
      </c>
      <c r="F52" s="21" t="s">
        <v>35</v>
      </c>
      <c r="G52" s="20" t="s">
        <v>187</v>
      </c>
      <c r="H52" s="22" t="s">
        <v>161</v>
      </c>
      <c r="I52" s="20" t="s">
        <v>161</v>
      </c>
      <c r="J52" s="22"/>
      <c r="K52" s="19" t="s">
        <v>309</v>
      </c>
      <c r="L52" s="20" t="str">
        <f>"94,2310"</f>
        <v>94,2310</v>
      </c>
      <c r="M52" s="21" t="s">
        <v>21</v>
      </c>
    </row>
    <row r="53" spans="1:13" ht="12.75">
      <c r="A53" s="19" t="s">
        <v>568</v>
      </c>
      <c r="B53" s="20" t="s">
        <v>569</v>
      </c>
      <c r="C53" s="20" t="s">
        <v>570</v>
      </c>
      <c r="D53" s="20" t="str">
        <f>"0,5606"</f>
        <v>0,5606</v>
      </c>
      <c r="E53" s="21" t="s">
        <v>133</v>
      </c>
      <c r="F53" s="21" t="s">
        <v>571</v>
      </c>
      <c r="G53" s="20" t="s">
        <v>180</v>
      </c>
      <c r="H53" s="20" t="s">
        <v>181</v>
      </c>
      <c r="I53" s="20" t="s">
        <v>175</v>
      </c>
      <c r="J53" s="22"/>
      <c r="K53" s="19" t="s">
        <v>236</v>
      </c>
      <c r="L53" s="20" t="str">
        <f>"92,5072"</f>
        <v>92,5072</v>
      </c>
      <c r="M53" s="21" t="s">
        <v>21</v>
      </c>
    </row>
    <row r="54" spans="1:13" ht="12.75">
      <c r="A54" s="19" t="s">
        <v>572</v>
      </c>
      <c r="B54" s="20" t="s">
        <v>573</v>
      </c>
      <c r="C54" s="20" t="s">
        <v>574</v>
      </c>
      <c r="D54" s="20" t="str">
        <f>"0,5624"</f>
        <v>0,5624</v>
      </c>
      <c r="E54" s="21" t="s">
        <v>26</v>
      </c>
      <c r="F54" s="21" t="s">
        <v>90</v>
      </c>
      <c r="G54" s="20" t="s">
        <v>186</v>
      </c>
      <c r="H54" s="22" t="s">
        <v>187</v>
      </c>
      <c r="I54" s="22" t="s">
        <v>187</v>
      </c>
      <c r="J54" s="22"/>
      <c r="K54" s="19" t="s">
        <v>188</v>
      </c>
      <c r="L54" s="20" t="str">
        <f>"83,0159"</f>
        <v>83,0159</v>
      </c>
      <c r="M54" s="21" t="s">
        <v>21</v>
      </c>
    </row>
    <row r="55" spans="1:13" ht="12.75">
      <c r="A55" s="19" t="s">
        <v>575</v>
      </c>
      <c r="B55" s="20" t="s">
        <v>576</v>
      </c>
      <c r="C55" s="20" t="s">
        <v>577</v>
      </c>
      <c r="D55" s="20" t="str">
        <f>"0,5627"</f>
        <v>0,5627</v>
      </c>
      <c r="E55" s="21" t="s">
        <v>133</v>
      </c>
      <c r="F55" s="21" t="s">
        <v>134</v>
      </c>
      <c r="G55" s="20" t="s">
        <v>181</v>
      </c>
      <c r="H55" s="20" t="s">
        <v>161</v>
      </c>
      <c r="I55" s="22" t="s">
        <v>163</v>
      </c>
      <c r="J55" s="22"/>
      <c r="K55" s="19" t="s">
        <v>309</v>
      </c>
      <c r="L55" s="20" t="str">
        <f>"102,2595"</f>
        <v>102,2595</v>
      </c>
      <c r="M55" s="21" t="s">
        <v>21</v>
      </c>
    </row>
    <row r="56" spans="1:13" ht="12.75">
      <c r="A56" s="19" t="s">
        <v>578</v>
      </c>
      <c r="B56" s="20" t="s">
        <v>579</v>
      </c>
      <c r="C56" s="20" t="s">
        <v>580</v>
      </c>
      <c r="D56" s="20" t="str">
        <f>"0,5630"</f>
        <v>0,5630</v>
      </c>
      <c r="E56" s="21" t="s">
        <v>133</v>
      </c>
      <c r="F56" s="21" t="s">
        <v>571</v>
      </c>
      <c r="G56" s="20" t="s">
        <v>168</v>
      </c>
      <c r="H56" s="22" t="s">
        <v>163</v>
      </c>
      <c r="I56" s="20" t="s">
        <v>163</v>
      </c>
      <c r="J56" s="22"/>
      <c r="K56" s="19" t="s">
        <v>164</v>
      </c>
      <c r="L56" s="20" t="str">
        <f>"129,8165"</f>
        <v>129,8165</v>
      </c>
      <c r="M56" s="21" t="s">
        <v>21</v>
      </c>
    </row>
    <row r="57" spans="1:13" ht="12.75">
      <c r="A57" s="15" t="s">
        <v>581</v>
      </c>
      <c r="B57" s="16" t="s">
        <v>582</v>
      </c>
      <c r="C57" s="16" t="s">
        <v>583</v>
      </c>
      <c r="D57" s="16" t="str">
        <f>"0,5788"</f>
        <v>0,5788</v>
      </c>
      <c r="E57" s="17" t="s">
        <v>584</v>
      </c>
      <c r="F57" s="17" t="s">
        <v>585</v>
      </c>
      <c r="G57" s="16" t="s">
        <v>91</v>
      </c>
      <c r="H57" s="16" t="s">
        <v>92</v>
      </c>
      <c r="I57" s="16" t="s">
        <v>218</v>
      </c>
      <c r="J57" s="18"/>
      <c r="K57" s="15" t="s">
        <v>220</v>
      </c>
      <c r="L57" s="16" t="str">
        <f>"145,4235"</f>
        <v>145,4235</v>
      </c>
      <c r="M57" s="17" t="s">
        <v>21</v>
      </c>
    </row>
    <row r="59" spans="1:12" ht="15.75">
      <c r="A59" s="33" t="s">
        <v>286</v>
      </c>
      <c r="B59" s="34"/>
      <c r="C59" s="34"/>
      <c r="D59" s="34"/>
      <c r="E59" s="34"/>
      <c r="F59" s="34"/>
      <c r="G59" s="34"/>
      <c r="H59" s="34"/>
      <c r="I59" s="34"/>
      <c r="J59" s="34"/>
      <c r="K59" s="33"/>
      <c r="L59" s="34"/>
    </row>
    <row r="60" spans="1:13" ht="12.75">
      <c r="A60" s="11" t="s">
        <v>586</v>
      </c>
      <c r="B60" s="12" t="s">
        <v>587</v>
      </c>
      <c r="C60" s="12" t="s">
        <v>588</v>
      </c>
      <c r="D60" s="12" t="str">
        <f>"0,5404"</f>
        <v>0,5404</v>
      </c>
      <c r="E60" s="13" t="s">
        <v>26</v>
      </c>
      <c r="F60" s="13" t="s">
        <v>90</v>
      </c>
      <c r="G60" s="12" t="s">
        <v>187</v>
      </c>
      <c r="H60" s="14" t="s">
        <v>180</v>
      </c>
      <c r="I60" s="14" t="s">
        <v>180</v>
      </c>
      <c r="J60" s="14"/>
      <c r="K60" s="11" t="s">
        <v>556</v>
      </c>
      <c r="L60" s="12" t="str">
        <f>"91,5978"</f>
        <v>91,5978</v>
      </c>
      <c r="M60" s="13" t="s">
        <v>21</v>
      </c>
    </row>
    <row r="61" spans="1:13" ht="12.75">
      <c r="A61" s="19" t="s">
        <v>589</v>
      </c>
      <c r="B61" s="20" t="s">
        <v>590</v>
      </c>
      <c r="C61" s="20" t="s">
        <v>591</v>
      </c>
      <c r="D61" s="20" t="str">
        <f>"0,5422"</f>
        <v>0,5422</v>
      </c>
      <c r="E61" s="21" t="s">
        <v>592</v>
      </c>
      <c r="F61" s="21" t="s">
        <v>593</v>
      </c>
      <c r="G61" s="22" t="s">
        <v>163</v>
      </c>
      <c r="H61" s="20" t="s">
        <v>427</v>
      </c>
      <c r="I61" s="22" t="s">
        <v>428</v>
      </c>
      <c r="J61" s="22"/>
      <c r="K61" s="19" t="s">
        <v>594</v>
      </c>
      <c r="L61" s="20" t="str">
        <f>"103,0180"</f>
        <v>103,0180</v>
      </c>
      <c r="M61" s="21" t="s">
        <v>21</v>
      </c>
    </row>
    <row r="62" spans="1:13" ht="12.75">
      <c r="A62" s="19" t="s">
        <v>595</v>
      </c>
      <c r="B62" s="20" t="s">
        <v>596</v>
      </c>
      <c r="C62" s="20" t="s">
        <v>597</v>
      </c>
      <c r="D62" s="20" t="str">
        <f>"0,5366"</f>
        <v>0,5366</v>
      </c>
      <c r="E62" s="21" t="s">
        <v>26</v>
      </c>
      <c r="F62" s="21" t="s">
        <v>27</v>
      </c>
      <c r="G62" s="20" t="s">
        <v>450</v>
      </c>
      <c r="H62" s="20" t="s">
        <v>442</v>
      </c>
      <c r="I62" s="22"/>
      <c r="J62" s="22"/>
      <c r="K62" s="19" t="s">
        <v>598</v>
      </c>
      <c r="L62" s="20" t="str">
        <f>"123,4180"</f>
        <v>123,4180</v>
      </c>
      <c r="M62" s="21" t="s">
        <v>21</v>
      </c>
    </row>
    <row r="63" spans="1:13" ht="12.75">
      <c r="A63" s="19" t="s">
        <v>599</v>
      </c>
      <c r="B63" s="20" t="s">
        <v>600</v>
      </c>
      <c r="C63" s="20" t="s">
        <v>601</v>
      </c>
      <c r="D63" s="20" t="str">
        <f>"0,5507"</f>
        <v>0,5507</v>
      </c>
      <c r="E63" s="21" t="s">
        <v>26</v>
      </c>
      <c r="F63" s="21" t="s">
        <v>90</v>
      </c>
      <c r="G63" s="20" t="s">
        <v>181</v>
      </c>
      <c r="H63" s="20" t="s">
        <v>161</v>
      </c>
      <c r="I63" s="20" t="s">
        <v>168</v>
      </c>
      <c r="J63" s="22"/>
      <c r="K63" s="19" t="s">
        <v>169</v>
      </c>
      <c r="L63" s="20" t="str">
        <f>"106,1103"</f>
        <v>106,1103</v>
      </c>
      <c r="M63" s="21" t="s">
        <v>21</v>
      </c>
    </row>
    <row r="64" spans="1:13" ht="12.75">
      <c r="A64" s="19" t="s">
        <v>602</v>
      </c>
      <c r="B64" s="20" t="s">
        <v>603</v>
      </c>
      <c r="C64" s="20" t="s">
        <v>604</v>
      </c>
      <c r="D64" s="20" t="str">
        <f>"0,5432"</f>
        <v>0,5432</v>
      </c>
      <c r="E64" s="21" t="s">
        <v>72</v>
      </c>
      <c r="F64" s="21" t="s">
        <v>73</v>
      </c>
      <c r="G64" s="20" t="s">
        <v>175</v>
      </c>
      <c r="H64" s="20" t="s">
        <v>168</v>
      </c>
      <c r="I64" s="22" t="s">
        <v>162</v>
      </c>
      <c r="J64" s="22"/>
      <c r="K64" s="19" t="s">
        <v>169</v>
      </c>
      <c r="L64" s="20" t="str">
        <f>"102,3132"</f>
        <v>102,3132</v>
      </c>
      <c r="M64" s="21" t="s">
        <v>21</v>
      </c>
    </row>
    <row r="65" spans="1:13" ht="12.75">
      <c r="A65" s="15" t="s">
        <v>605</v>
      </c>
      <c r="B65" s="16" t="s">
        <v>606</v>
      </c>
      <c r="C65" s="16" t="s">
        <v>607</v>
      </c>
      <c r="D65" s="16" t="str">
        <f>"0,5462"</f>
        <v>0,5462</v>
      </c>
      <c r="E65" s="17" t="s">
        <v>72</v>
      </c>
      <c r="F65" s="17" t="s">
        <v>73</v>
      </c>
      <c r="G65" s="16" t="s">
        <v>218</v>
      </c>
      <c r="H65" s="16" t="s">
        <v>192</v>
      </c>
      <c r="I65" s="18" t="s">
        <v>608</v>
      </c>
      <c r="J65" s="18"/>
      <c r="K65" s="15" t="s">
        <v>193</v>
      </c>
      <c r="L65" s="16" t="str">
        <f>"116,8049"</f>
        <v>116,8049</v>
      </c>
      <c r="M65" s="17" t="s">
        <v>21</v>
      </c>
    </row>
    <row r="67" spans="1:12" ht="15.75">
      <c r="A67" s="33" t="s">
        <v>300</v>
      </c>
      <c r="B67" s="34"/>
      <c r="C67" s="34"/>
      <c r="D67" s="34"/>
      <c r="E67" s="34"/>
      <c r="F67" s="34"/>
      <c r="G67" s="34"/>
      <c r="H67" s="34"/>
      <c r="I67" s="34"/>
      <c r="J67" s="34"/>
      <c r="K67" s="33"/>
      <c r="L67" s="34"/>
    </row>
    <row r="68" spans="1:13" ht="12.75">
      <c r="A68" s="11" t="s">
        <v>609</v>
      </c>
      <c r="B68" s="12" t="s">
        <v>610</v>
      </c>
      <c r="C68" s="12" t="s">
        <v>611</v>
      </c>
      <c r="D68" s="12" t="str">
        <f>"0,5339"</f>
        <v>0,5339</v>
      </c>
      <c r="E68" s="13" t="s">
        <v>528</v>
      </c>
      <c r="F68" s="13" t="s">
        <v>612</v>
      </c>
      <c r="G68" s="12" t="s">
        <v>450</v>
      </c>
      <c r="H68" s="12" t="s">
        <v>442</v>
      </c>
      <c r="I68" s="12" t="s">
        <v>443</v>
      </c>
      <c r="J68" s="14"/>
      <c r="K68" s="11" t="s">
        <v>444</v>
      </c>
      <c r="L68" s="12" t="str">
        <f>"126,8013"</f>
        <v>126,8013</v>
      </c>
      <c r="M68" s="13" t="s">
        <v>21</v>
      </c>
    </row>
    <row r="69" spans="1:13" ht="12.75">
      <c r="A69" s="19" t="s">
        <v>613</v>
      </c>
      <c r="B69" s="20" t="s">
        <v>614</v>
      </c>
      <c r="C69" s="20" t="s">
        <v>615</v>
      </c>
      <c r="D69" s="20" t="str">
        <f>"0,5304"</f>
        <v>0,5304</v>
      </c>
      <c r="E69" s="21" t="s">
        <v>133</v>
      </c>
      <c r="F69" s="21" t="s">
        <v>134</v>
      </c>
      <c r="G69" s="20" t="s">
        <v>168</v>
      </c>
      <c r="H69" s="20" t="s">
        <v>224</v>
      </c>
      <c r="I69" s="22" t="s">
        <v>428</v>
      </c>
      <c r="J69" s="22"/>
      <c r="K69" s="19" t="s">
        <v>226</v>
      </c>
      <c r="L69" s="20" t="str">
        <f>"96,7980"</f>
        <v>96,7980</v>
      </c>
      <c r="M69" s="21" t="s">
        <v>21</v>
      </c>
    </row>
    <row r="70" spans="1:13" ht="12.75">
      <c r="A70" s="15" t="s">
        <v>616</v>
      </c>
      <c r="B70" s="16" t="s">
        <v>617</v>
      </c>
      <c r="C70" s="16" t="s">
        <v>618</v>
      </c>
      <c r="D70" s="16" t="str">
        <f>"0,5293"</f>
        <v>0,5293</v>
      </c>
      <c r="E70" s="17" t="s">
        <v>72</v>
      </c>
      <c r="F70" s="17" t="s">
        <v>73</v>
      </c>
      <c r="G70" s="16" t="s">
        <v>187</v>
      </c>
      <c r="H70" s="16" t="s">
        <v>181</v>
      </c>
      <c r="I70" s="16" t="s">
        <v>285</v>
      </c>
      <c r="J70" s="18" t="s">
        <v>162</v>
      </c>
      <c r="K70" s="15" t="s">
        <v>324</v>
      </c>
      <c r="L70" s="16" t="str">
        <f>"126,7806"</f>
        <v>126,7806</v>
      </c>
      <c r="M70" s="17" t="s">
        <v>21</v>
      </c>
    </row>
    <row r="72" spans="1:12" ht="15.75">
      <c r="A72" s="33" t="s">
        <v>619</v>
      </c>
      <c r="B72" s="34"/>
      <c r="C72" s="34"/>
      <c r="D72" s="34"/>
      <c r="E72" s="34"/>
      <c r="F72" s="34"/>
      <c r="G72" s="34"/>
      <c r="H72" s="34"/>
      <c r="I72" s="34"/>
      <c r="J72" s="34"/>
      <c r="K72" s="33"/>
      <c r="L72" s="34"/>
    </row>
    <row r="73" spans="1:13" ht="12.75">
      <c r="A73" s="6" t="s">
        <v>620</v>
      </c>
      <c r="B73" s="7" t="s">
        <v>621</v>
      </c>
      <c r="C73" s="7" t="s">
        <v>622</v>
      </c>
      <c r="D73" s="7" t="str">
        <f>"0,5088"</f>
        <v>0,5088</v>
      </c>
      <c r="E73" s="8" t="s">
        <v>26</v>
      </c>
      <c r="F73" s="8" t="s">
        <v>90</v>
      </c>
      <c r="G73" s="7" t="s">
        <v>442</v>
      </c>
      <c r="H73" s="9" t="s">
        <v>435</v>
      </c>
      <c r="I73" s="9" t="s">
        <v>82</v>
      </c>
      <c r="J73" s="9"/>
      <c r="K73" s="6" t="s">
        <v>598</v>
      </c>
      <c r="L73" s="7" t="str">
        <f>"117,0321"</f>
        <v>117,0321</v>
      </c>
      <c r="M73" s="8" t="s">
        <v>21</v>
      </c>
    </row>
    <row r="75" spans="1:12" ht="15.75">
      <c r="A75" s="33" t="s">
        <v>314</v>
      </c>
      <c r="B75" s="34"/>
      <c r="C75" s="34"/>
      <c r="D75" s="34"/>
      <c r="E75" s="34"/>
      <c r="F75" s="34"/>
      <c r="G75" s="34"/>
      <c r="H75" s="34"/>
      <c r="I75" s="34"/>
      <c r="J75" s="34"/>
      <c r="K75" s="33"/>
      <c r="L75" s="34"/>
    </row>
    <row r="76" spans="1:13" ht="12.75">
      <c r="A76" s="6" t="s">
        <v>623</v>
      </c>
      <c r="B76" s="7" t="s">
        <v>624</v>
      </c>
      <c r="C76" s="7" t="s">
        <v>625</v>
      </c>
      <c r="D76" s="7" t="str">
        <f>"0,4920"</f>
        <v>0,4920</v>
      </c>
      <c r="E76" s="8" t="s">
        <v>141</v>
      </c>
      <c r="F76" s="8" t="s">
        <v>142</v>
      </c>
      <c r="G76" s="9" t="s">
        <v>319</v>
      </c>
      <c r="H76" s="7" t="s">
        <v>450</v>
      </c>
      <c r="I76" s="9" t="s">
        <v>626</v>
      </c>
      <c r="J76" s="9"/>
      <c r="K76" s="6" t="s">
        <v>463</v>
      </c>
      <c r="L76" s="7" t="str">
        <f>"108,2400"</f>
        <v>108,2400</v>
      </c>
      <c r="M76" s="8" t="s">
        <v>21</v>
      </c>
    </row>
    <row r="78" ht="15.75">
      <c r="E78" s="23" t="s">
        <v>325</v>
      </c>
    </row>
    <row r="79" ht="15.75">
      <c r="E79" s="23" t="s">
        <v>326</v>
      </c>
    </row>
    <row r="80" ht="15.75">
      <c r="E80" s="23" t="s">
        <v>327</v>
      </c>
    </row>
    <row r="81" ht="15.75">
      <c r="E81" s="23" t="s">
        <v>328</v>
      </c>
    </row>
    <row r="82" ht="15.75">
      <c r="E82" s="23" t="s">
        <v>328</v>
      </c>
    </row>
    <row r="83" ht="15.75">
      <c r="E83" s="23" t="s">
        <v>329</v>
      </c>
    </row>
    <row r="84" ht="15.75">
      <c r="E84" s="23"/>
    </row>
    <row r="86" spans="1:2" ht="18">
      <c r="A86" s="24" t="s">
        <v>330</v>
      </c>
      <c r="B86" s="25"/>
    </row>
    <row r="87" spans="1:2" ht="15.75">
      <c r="A87" s="26" t="s">
        <v>331</v>
      </c>
      <c r="B87" s="10"/>
    </row>
    <row r="88" spans="1:2" ht="13.5">
      <c r="A88" s="28"/>
      <c r="B88" s="29" t="s">
        <v>353</v>
      </c>
    </row>
    <row r="89" spans="1:5" ht="13.5">
      <c r="A89" s="30" t="s">
        <v>333</v>
      </c>
      <c r="B89" s="30" t="s">
        <v>334</v>
      </c>
      <c r="C89" s="30" t="s">
        <v>335</v>
      </c>
      <c r="D89" s="30" t="s">
        <v>336</v>
      </c>
      <c r="E89" s="30" t="s">
        <v>337</v>
      </c>
    </row>
    <row r="90" spans="1:5" ht="12.75">
      <c r="A90" s="27" t="s">
        <v>471</v>
      </c>
      <c r="B90" s="1" t="s">
        <v>357</v>
      </c>
      <c r="C90" s="1" t="s">
        <v>355</v>
      </c>
      <c r="D90" s="1" t="s">
        <v>74</v>
      </c>
      <c r="E90" s="4" t="s">
        <v>627</v>
      </c>
    </row>
    <row r="91" spans="1:5" ht="12.75">
      <c r="A91" s="27" t="s">
        <v>467</v>
      </c>
      <c r="B91" s="1" t="s">
        <v>354</v>
      </c>
      <c r="C91" s="1" t="s">
        <v>628</v>
      </c>
      <c r="D91" s="1" t="s">
        <v>81</v>
      </c>
      <c r="E91" s="4" t="s">
        <v>629</v>
      </c>
    </row>
    <row r="93" spans="1:2" ht="13.5">
      <c r="A93" s="28"/>
      <c r="B93" s="29" t="s">
        <v>361</v>
      </c>
    </row>
    <row r="94" spans="1:5" ht="13.5">
      <c r="A94" s="30" t="s">
        <v>333</v>
      </c>
      <c r="B94" s="30" t="s">
        <v>334</v>
      </c>
      <c r="C94" s="30" t="s">
        <v>335</v>
      </c>
      <c r="D94" s="30" t="s">
        <v>336</v>
      </c>
      <c r="E94" s="30" t="s">
        <v>337</v>
      </c>
    </row>
    <row r="95" spans="1:5" ht="12.75">
      <c r="A95" s="27" t="s">
        <v>475</v>
      </c>
      <c r="B95" s="1" t="s">
        <v>362</v>
      </c>
      <c r="C95" s="1" t="s">
        <v>355</v>
      </c>
      <c r="D95" s="1" t="s">
        <v>74</v>
      </c>
      <c r="E95" s="4" t="s">
        <v>630</v>
      </c>
    </row>
    <row r="97" spans="1:2" ht="13.5">
      <c r="A97" s="28"/>
      <c r="B97" s="29" t="s">
        <v>332</v>
      </c>
    </row>
    <row r="98" spans="1:5" ht="13.5">
      <c r="A98" s="30" t="s">
        <v>333</v>
      </c>
      <c r="B98" s="30" t="s">
        <v>334</v>
      </c>
      <c r="C98" s="30" t="s">
        <v>335</v>
      </c>
      <c r="D98" s="30" t="s">
        <v>336</v>
      </c>
      <c r="E98" s="30" t="s">
        <v>337</v>
      </c>
    </row>
    <row r="99" spans="1:5" ht="12.75">
      <c r="A99" s="27" t="s">
        <v>480</v>
      </c>
      <c r="B99" s="1" t="s">
        <v>332</v>
      </c>
      <c r="C99" s="1" t="s">
        <v>370</v>
      </c>
      <c r="D99" s="1" t="s">
        <v>74</v>
      </c>
      <c r="E99" s="4" t="s">
        <v>631</v>
      </c>
    </row>
    <row r="102" spans="1:2" ht="15.75">
      <c r="A102" s="26" t="s">
        <v>352</v>
      </c>
      <c r="B102" s="10"/>
    </row>
    <row r="103" spans="1:2" ht="13.5">
      <c r="A103" s="28"/>
      <c r="B103" s="29" t="s">
        <v>353</v>
      </c>
    </row>
    <row r="104" spans="1:5" ht="13.5">
      <c r="A104" s="30" t="s">
        <v>333</v>
      </c>
      <c r="B104" s="30" t="s">
        <v>334</v>
      </c>
      <c r="C104" s="30" t="s">
        <v>335</v>
      </c>
      <c r="D104" s="30" t="s">
        <v>336</v>
      </c>
      <c r="E104" s="30" t="s">
        <v>337</v>
      </c>
    </row>
    <row r="105" spans="1:5" ht="12.75">
      <c r="A105" s="27" t="s">
        <v>513</v>
      </c>
      <c r="B105" s="1" t="s">
        <v>632</v>
      </c>
      <c r="C105" s="1" t="s">
        <v>370</v>
      </c>
      <c r="D105" s="1" t="s">
        <v>225</v>
      </c>
      <c r="E105" s="4" t="s">
        <v>633</v>
      </c>
    </row>
    <row r="106" spans="1:5" ht="12.75">
      <c r="A106" s="27" t="s">
        <v>551</v>
      </c>
      <c r="B106" s="1" t="s">
        <v>357</v>
      </c>
      <c r="C106" s="1" t="s">
        <v>363</v>
      </c>
      <c r="D106" s="1" t="s">
        <v>187</v>
      </c>
      <c r="E106" s="4" t="s">
        <v>634</v>
      </c>
    </row>
    <row r="107" spans="1:5" ht="12.75">
      <c r="A107" s="27" t="s">
        <v>586</v>
      </c>
      <c r="B107" s="1" t="s">
        <v>357</v>
      </c>
      <c r="C107" s="1" t="s">
        <v>379</v>
      </c>
      <c r="D107" s="1" t="s">
        <v>187</v>
      </c>
      <c r="E107" s="4" t="s">
        <v>635</v>
      </c>
    </row>
    <row r="108" spans="1:5" ht="12.75">
      <c r="A108" s="27" t="s">
        <v>490</v>
      </c>
      <c r="B108" s="1" t="s">
        <v>632</v>
      </c>
      <c r="C108" s="1" t="s">
        <v>340</v>
      </c>
      <c r="D108" s="1" t="s">
        <v>110</v>
      </c>
      <c r="E108" s="4" t="s">
        <v>636</v>
      </c>
    </row>
    <row r="109" spans="1:5" ht="12.75">
      <c r="A109" s="27" t="s">
        <v>496</v>
      </c>
      <c r="B109" s="1" t="s">
        <v>632</v>
      </c>
      <c r="C109" s="1" t="s">
        <v>392</v>
      </c>
      <c r="D109" s="1" t="s">
        <v>143</v>
      </c>
      <c r="E109" s="4" t="s">
        <v>637</v>
      </c>
    </row>
    <row r="110" spans="1:5" ht="12.75">
      <c r="A110" s="27" t="s">
        <v>485</v>
      </c>
      <c r="B110" s="1" t="s">
        <v>354</v>
      </c>
      <c r="C110" s="1" t="s">
        <v>340</v>
      </c>
      <c r="D110" s="1" t="s">
        <v>488</v>
      </c>
      <c r="E110" s="4" t="s">
        <v>638</v>
      </c>
    </row>
    <row r="112" spans="1:2" ht="13.5">
      <c r="A112" s="28"/>
      <c r="B112" s="29" t="s">
        <v>361</v>
      </c>
    </row>
    <row r="113" spans="1:5" ht="13.5">
      <c r="A113" s="30" t="s">
        <v>333</v>
      </c>
      <c r="B113" s="30" t="s">
        <v>334</v>
      </c>
      <c r="C113" s="30" t="s">
        <v>335</v>
      </c>
      <c r="D113" s="30" t="s">
        <v>336</v>
      </c>
      <c r="E113" s="30" t="s">
        <v>337</v>
      </c>
    </row>
    <row r="114" spans="1:5" ht="12.75">
      <c r="A114" s="27" t="s">
        <v>516</v>
      </c>
      <c r="B114" s="1" t="s">
        <v>362</v>
      </c>
      <c r="C114" s="1" t="s">
        <v>370</v>
      </c>
      <c r="D114" s="1" t="s">
        <v>319</v>
      </c>
      <c r="E114" s="4" t="s">
        <v>639</v>
      </c>
    </row>
    <row r="115" spans="1:5" ht="12.75">
      <c r="A115" s="27" t="s">
        <v>492</v>
      </c>
      <c r="B115" s="1" t="s">
        <v>362</v>
      </c>
      <c r="C115" s="1" t="s">
        <v>355</v>
      </c>
      <c r="D115" s="1" t="s">
        <v>181</v>
      </c>
      <c r="E115" s="4" t="s">
        <v>640</v>
      </c>
    </row>
    <row r="116" spans="1:5" ht="12.75">
      <c r="A116" s="27" t="s">
        <v>520</v>
      </c>
      <c r="B116" s="1" t="s">
        <v>362</v>
      </c>
      <c r="C116" s="1" t="s">
        <v>370</v>
      </c>
      <c r="D116" s="1" t="s">
        <v>290</v>
      </c>
      <c r="E116" s="4" t="s">
        <v>641</v>
      </c>
    </row>
    <row r="117" spans="1:5" ht="12.75">
      <c r="A117" s="27" t="s">
        <v>525</v>
      </c>
      <c r="B117" s="1" t="s">
        <v>362</v>
      </c>
      <c r="C117" s="1" t="s">
        <v>370</v>
      </c>
      <c r="D117" s="1" t="s">
        <v>225</v>
      </c>
      <c r="E117" s="4" t="s">
        <v>642</v>
      </c>
    </row>
    <row r="119" spans="1:2" ht="13.5">
      <c r="A119" s="28"/>
      <c r="B119" s="29" t="s">
        <v>332</v>
      </c>
    </row>
    <row r="120" spans="1:5" ht="13.5">
      <c r="A120" s="30" t="s">
        <v>333</v>
      </c>
      <c r="B120" s="30" t="s">
        <v>334</v>
      </c>
      <c r="C120" s="30" t="s">
        <v>335</v>
      </c>
      <c r="D120" s="30" t="s">
        <v>336</v>
      </c>
      <c r="E120" s="30" t="s">
        <v>337</v>
      </c>
    </row>
    <row r="121" spans="1:5" ht="12.75">
      <c r="A121" s="27" t="s">
        <v>609</v>
      </c>
      <c r="B121" s="1" t="s">
        <v>332</v>
      </c>
      <c r="C121" s="1" t="s">
        <v>403</v>
      </c>
      <c r="D121" s="1" t="s">
        <v>443</v>
      </c>
      <c r="E121" s="4" t="s">
        <v>643</v>
      </c>
    </row>
    <row r="122" spans="1:5" ht="12.75">
      <c r="A122" s="27" t="s">
        <v>516</v>
      </c>
      <c r="B122" s="1" t="s">
        <v>332</v>
      </c>
      <c r="C122" s="1" t="s">
        <v>370</v>
      </c>
      <c r="D122" s="1" t="s">
        <v>319</v>
      </c>
      <c r="E122" s="4" t="s">
        <v>639</v>
      </c>
    </row>
    <row r="123" spans="1:5" ht="12.75">
      <c r="A123" s="27" t="s">
        <v>532</v>
      </c>
      <c r="B123" s="1" t="s">
        <v>332</v>
      </c>
      <c r="C123" s="1" t="s">
        <v>370</v>
      </c>
      <c r="D123" s="1" t="s">
        <v>318</v>
      </c>
      <c r="E123" s="4" t="s">
        <v>644</v>
      </c>
    </row>
    <row r="124" spans="1:5" ht="12.75">
      <c r="A124" s="27" t="s">
        <v>535</v>
      </c>
      <c r="B124" s="1" t="s">
        <v>332</v>
      </c>
      <c r="C124" s="1" t="s">
        <v>370</v>
      </c>
      <c r="D124" s="1" t="s">
        <v>318</v>
      </c>
      <c r="E124" s="4" t="s">
        <v>645</v>
      </c>
    </row>
    <row r="125" spans="1:5" ht="12.75">
      <c r="A125" s="27" t="s">
        <v>557</v>
      </c>
      <c r="B125" s="1" t="s">
        <v>332</v>
      </c>
      <c r="C125" s="1" t="s">
        <v>363</v>
      </c>
      <c r="D125" s="1" t="s">
        <v>319</v>
      </c>
      <c r="E125" s="4" t="s">
        <v>646</v>
      </c>
    </row>
    <row r="126" spans="1:5" ht="12.75">
      <c r="A126" s="27" t="s">
        <v>620</v>
      </c>
      <c r="B126" s="1" t="s">
        <v>332</v>
      </c>
      <c r="C126" s="1" t="s">
        <v>647</v>
      </c>
      <c r="D126" s="1" t="s">
        <v>442</v>
      </c>
      <c r="E126" s="4" t="s">
        <v>648</v>
      </c>
    </row>
    <row r="127" spans="1:5" ht="12.75">
      <c r="A127" s="27" t="s">
        <v>623</v>
      </c>
      <c r="B127" s="1" t="s">
        <v>332</v>
      </c>
      <c r="C127" s="1" t="s">
        <v>376</v>
      </c>
      <c r="D127" s="1" t="s">
        <v>450</v>
      </c>
      <c r="E127" s="4" t="s">
        <v>649</v>
      </c>
    </row>
    <row r="128" spans="1:5" ht="12.75">
      <c r="A128" s="27" t="s">
        <v>539</v>
      </c>
      <c r="B128" s="1" t="s">
        <v>332</v>
      </c>
      <c r="C128" s="1" t="s">
        <v>370</v>
      </c>
      <c r="D128" s="1" t="s">
        <v>163</v>
      </c>
      <c r="E128" s="4" t="s">
        <v>650</v>
      </c>
    </row>
    <row r="129" spans="1:5" ht="12.75">
      <c r="A129" s="27" t="s">
        <v>589</v>
      </c>
      <c r="B129" s="1" t="s">
        <v>332</v>
      </c>
      <c r="C129" s="1" t="s">
        <v>379</v>
      </c>
      <c r="D129" s="1" t="s">
        <v>427</v>
      </c>
      <c r="E129" s="4" t="s">
        <v>651</v>
      </c>
    </row>
    <row r="130" spans="1:5" ht="12.75">
      <c r="A130" s="27" t="s">
        <v>561</v>
      </c>
      <c r="B130" s="1" t="s">
        <v>332</v>
      </c>
      <c r="C130" s="1" t="s">
        <v>363</v>
      </c>
      <c r="D130" s="1" t="s">
        <v>163</v>
      </c>
      <c r="E130" s="4" t="s">
        <v>652</v>
      </c>
    </row>
    <row r="131" spans="1:5" ht="12.75">
      <c r="A131" s="27" t="s">
        <v>510</v>
      </c>
      <c r="B131" s="1" t="s">
        <v>332</v>
      </c>
      <c r="C131" s="1" t="s">
        <v>368</v>
      </c>
      <c r="D131" s="1" t="s">
        <v>181</v>
      </c>
      <c r="E131" s="4" t="s">
        <v>653</v>
      </c>
    </row>
    <row r="132" spans="1:5" ht="12.75">
      <c r="A132" s="27" t="s">
        <v>564</v>
      </c>
      <c r="B132" s="1" t="s">
        <v>332</v>
      </c>
      <c r="C132" s="1" t="s">
        <v>363</v>
      </c>
      <c r="D132" s="1" t="s">
        <v>162</v>
      </c>
      <c r="E132" s="4" t="s">
        <v>654</v>
      </c>
    </row>
    <row r="133" spans="1:5" ht="12.75">
      <c r="A133" s="27" t="s">
        <v>613</v>
      </c>
      <c r="B133" s="1" t="s">
        <v>332</v>
      </c>
      <c r="C133" s="1" t="s">
        <v>403</v>
      </c>
      <c r="D133" s="1" t="s">
        <v>224</v>
      </c>
      <c r="E133" s="4" t="s">
        <v>655</v>
      </c>
    </row>
    <row r="134" spans="1:5" ht="12.75">
      <c r="A134" s="27" t="s">
        <v>566</v>
      </c>
      <c r="B134" s="1" t="s">
        <v>332</v>
      </c>
      <c r="C134" s="1" t="s">
        <v>363</v>
      </c>
      <c r="D134" s="1" t="s">
        <v>161</v>
      </c>
      <c r="E134" s="4" t="s">
        <v>656</v>
      </c>
    </row>
    <row r="136" spans="1:2" ht="13.5">
      <c r="A136" s="28"/>
      <c r="B136" s="29" t="s">
        <v>347</v>
      </c>
    </row>
    <row r="137" spans="1:5" ht="13.5">
      <c r="A137" s="30" t="s">
        <v>333</v>
      </c>
      <c r="B137" s="30" t="s">
        <v>334</v>
      </c>
      <c r="C137" s="30" t="s">
        <v>335</v>
      </c>
      <c r="D137" s="30" t="s">
        <v>336</v>
      </c>
      <c r="E137" s="30" t="s">
        <v>337</v>
      </c>
    </row>
    <row r="138" spans="1:5" ht="12.75">
      <c r="A138" s="27" t="s">
        <v>581</v>
      </c>
      <c r="B138" s="1" t="s">
        <v>657</v>
      </c>
      <c r="C138" s="1" t="s">
        <v>363</v>
      </c>
      <c r="D138" s="1" t="s">
        <v>218</v>
      </c>
      <c r="E138" s="4" t="s">
        <v>658</v>
      </c>
    </row>
    <row r="139" spans="1:5" ht="12.75">
      <c r="A139" s="27" t="s">
        <v>501</v>
      </c>
      <c r="B139" s="1" t="s">
        <v>406</v>
      </c>
      <c r="C139" s="1" t="s">
        <v>392</v>
      </c>
      <c r="D139" s="1" t="s">
        <v>91</v>
      </c>
      <c r="E139" s="4" t="s">
        <v>659</v>
      </c>
    </row>
    <row r="140" spans="1:5" ht="12.75">
      <c r="A140" s="27" t="s">
        <v>504</v>
      </c>
      <c r="B140" s="1" t="s">
        <v>660</v>
      </c>
      <c r="C140" s="1" t="s">
        <v>392</v>
      </c>
      <c r="D140" s="1" t="s">
        <v>508</v>
      </c>
      <c r="E140" s="4" t="s">
        <v>661</v>
      </c>
    </row>
    <row r="141" spans="1:5" ht="12.75">
      <c r="A141" s="27" t="s">
        <v>578</v>
      </c>
      <c r="B141" s="1" t="s">
        <v>350</v>
      </c>
      <c r="C141" s="1" t="s">
        <v>363</v>
      </c>
      <c r="D141" s="1" t="s">
        <v>163</v>
      </c>
      <c r="E141" s="4" t="s">
        <v>662</v>
      </c>
    </row>
    <row r="142" spans="1:5" ht="12.75">
      <c r="A142" s="27" t="s">
        <v>616</v>
      </c>
      <c r="B142" s="1" t="s">
        <v>399</v>
      </c>
      <c r="C142" s="1" t="s">
        <v>403</v>
      </c>
      <c r="D142" s="1" t="s">
        <v>285</v>
      </c>
      <c r="E142" s="4" t="s">
        <v>663</v>
      </c>
    </row>
    <row r="143" spans="1:5" ht="12.75">
      <c r="A143" s="27" t="s">
        <v>595</v>
      </c>
      <c r="B143" s="1" t="s">
        <v>348</v>
      </c>
      <c r="C143" s="1" t="s">
        <v>379</v>
      </c>
      <c r="D143" s="1" t="s">
        <v>442</v>
      </c>
      <c r="E143" s="4" t="s">
        <v>664</v>
      </c>
    </row>
    <row r="144" spans="1:5" ht="12.75">
      <c r="A144" s="27" t="s">
        <v>605</v>
      </c>
      <c r="B144" s="1" t="s">
        <v>406</v>
      </c>
      <c r="C144" s="1" t="s">
        <v>379</v>
      </c>
      <c r="D144" s="1" t="s">
        <v>192</v>
      </c>
      <c r="E144" s="4" t="s">
        <v>665</v>
      </c>
    </row>
    <row r="145" spans="1:5" ht="12.75">
      <c r="A145" s="27" t="s">
        <v>539</v>
      </c>
      <c r="B145" s="1" t="s">
        <v>401</v>
      </c>
      <c r="C145" s="1" t="s">
        <v>370</v>
      </c>
      <c r="D145" s="1" t="s">
        <v>163</v>
      </c>
      <c r="E145" s="4" t="s">
        <v>666</v>
      </c>
    </row>
    <row r="146" spans="1:5" ht="12.75">
      <c r="A146" s="27" t="s">
        <v>599</v>
      </c>
      <c r="B146" s="1" t="s">
        <v>401</v>
      </c>
      <c r="C146" s="1" t="s">
        <v>379</v>
      </c>
      <c r="D146" s="1" t="s">
        <v>168</v>
      </c>
      <c r="E146" s="4" t="s">
        <v>667</v>
      </c>
    </row>
    <row r="147" spans="1:5" ht="12.75">
      <c r="A147" s="27" t="s">
        <v>544</v>
      </c>
      <c r="B147" s="1" t="s">
        <v>348</v>
      </c>
      <c r="C147" s="1" t="s">
        <v>370</v>
      </c>
      <c r="D147" s="1" t="s">
        <v>230</v>
      </c>
      <c r="E147" s="4" t="s">
        <v>668</v>
      </c>
    </row>
    <row r="148" spans="1:5" ht="12.75">
      <c r="A148" s="27" t="s">
        <v>602</v>
      </c>
      <c r="B148" s="1" t="s">
        <v>401</v>
      </c>
      <c r="C148" s="1" t="s">
        <v>379</v>
      </c>
      <c r="D148" s="1" t="s">
        <v>168</v>
      </c>
      <c r="E148" s="4" t="s">
        <v>669</v>
      </c>
    </row>
    <row r="149" spans="1:5" ht="12.75">
      <c r="A149" s="27" t="s">
        <v>575</v>
      </c>
      <c r="B149" s="1" t="s">
        <v>401</v>
      </c>
      <c r="C149" s="1" t="s">
        <v>363</v>
      </c>
      <c r="D149" s="1" t="s">
        <v>161</v>
      </c>
      <c r="E149" s="4" t="s">
        <v>670</v>
      </c>
    </row>
    <row r="150" spans="1:5" ht="12.75">
      <c r="A150" s="27" t="s">
        <v>568</v>
      </c>
      <c r="B150" s="1" t="s">
        <v>348</v>
      </c>
      <c r="C150" s="1" t="s">
        <v>363</v>
      </c>
      <c r="D150" s="1" t="s">
        <v>175</v>
      </c>
      <c r="E150" s="4" t="s">
        <v>671</v>
      </c>
    </row>
    <row r="151" spans="1:5" ht="12.75">
      <c r="A151" s="27" t="s">
        <v>549</v>
      </c>
      <c r="B151" s="1" t="s">
        <v>350</v>
      </c>
      <c r="C151" s="1" t="s">
        <v>370</v>
      </c>
      <c r="D151" s="1" t="s">
        <v>91</v>
      </c>
      <c r="E151" s="4" t="s">
        <v>672</v>
      </c>
    </row>
    <row r="152" spans="1:5" ht="12.75">
      <c r="A152" s="27" t="s">
        <v>572</v>
      </c>
      <c r="B152" s="1" t="s">
        <v>348</v>
      </c>
      <c r="C152" s="1" t="s">
        <v>363</v>
      </c>
      <c r="D152" s="1" t="s">
        <v>186</v>
      </c>
      <c r="E152" s="4" t="s">
        <v>673</v>
      </c>
    </row>
  </sheetData>
  <sheetProtection/>
  <mergeCells count="25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2:L12"/>
    <mergeCell ref="A15:L15"/>
    <mergeCell ref="A18:L18"/>
    <mergeCell ref="A67:L67"/>
    <mergeCell ref="A72:L72"/>
    <mergeCell ref="A75:L75"/>
    <mergeCell ref="A22:L22"/>
    <mergeCell ref="A26:L26"/>
    <mergeCell ref="A31:L31"/>
    <mergeCell ref="A34:L34"/>
    <mergeCell ref="A47:L47"/>
    <mergeCell ref="A59:L59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workbookViewId="0" topLeftCell="A16">
      <selection activeCell="A22" sqref="A22"/>
    </sheetView>
  </sheetViews>
  <sheetFormatPr defaultColWidth="9.125" defaultRowHeight="12.75"/>
  <cols>
    <col min="1" max="1" width="28.25390625" style="4" bestFit="1" customWidth="1"/>
    <col min="2" max="2" width="26.875" style="1" bestFit="1" customWidth="1"/>
    <col min="3" max="3" width="10.625" style="1" bestFit="1" customWidth="1"/>
    <col min="4" max="4" width="9.25390625" style="1" bestFit="1" customWidth="1"/>
    <col min="5" max="5" width="22.75390625" style="5" bestFit="1" customWidth="1"/>
    <col min="6" max="6" width="34.125" style="5" bestFit="1" customWidth="1"/>
    <col min="7" max="9" width="5.625" style="1" bestFit="1" customWidth="1"/>
    <col min="10" max="10" width="4.625" style="1" bestFit="1" customWidth="1"/>
    <col min="11" max="11" width="7.875" style="4" bestFit="1" customWidth="1"/>
    <col min="12" max="12" width="8.625" style="1" bestFit="1" customWidth="1"/>
    <col min="13" max="13" width="8.875" style="5" bestFit="1" customWidth="1"/>
    <col min="14" max="16384" width="9.125" style="1" customWidth="1"/>
  </cols>
  <sheetData>
    <row r="1" spans="1:13" ht="15" customHeight="1">
      <c r="A1" s="39" t="s">
        <v>674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66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2" customFormat="1" ht="12.75" customHeight="1">
      <c r="A3" s="45" t="s">
        <v>0</v>
      </c>
      <c r="B3" s="47" t="s">
        <v>9</v>
      </c>
      <c r="C3" s="37" t="s">
        <v>3</v>
      </c>
      <c r="D3" s="37" t="s">
        <v>11</v>
      </c>
      <c r="E3" s="37" t="s">
        <v>6</v>
      </c>
      <c r="F3" s="37" t="s">
        <v>8</v>
      </c>
      <c r="G3" s="37" t="s">
        <v>1</v>
      </c>
      <c r="H3" s="37"/>
      <c r="I3" s="37"/>
      <c r="J3" s="37"/>
      <c r="K3" s="37" t="s">
        <v>2</v>
      </c>
      <c r="L3" s="37" t="s">
        <v>5</v>
      </c>
      <c r="M3" s="48" t="s">
        <v>4</v>
      </c>
    </row>
    <row r="4" spans="1:13" s="2" customFormat="1" ht="21" customHeight="1" thickBot="1">
      <c r="A4" s="46"/>
      <c r="B4" s="38"/>
      <c r="C4" s="38"/>
      <c r="D4" s="38"/>
      <c r="E4" s="38"/>
      <c r="F4" s="38"/>
      <c r="G4" s="3">
        <v>1</v>
      </c>
      <c r="H4" s="3">
        <v>2</v>
      </c>
      <c r="I4" s="3">
        <v>3</v>
      </c>
      <c r="J4" s="3" t="s">
        <v>7</v>
      </c>
      <c r="K4" s="38"/>
      <c r="L4" s="38"/>
      <c r="M4" s="49"/>
    </row>
    <row r="5" spans="1:12" ht="15.75">
      <c r="A5" s="35" t="s">
        <v>56</v>
      </c>
      <c r="B5" s="36"/>
      <c r="C5" s="36"/>
      <c r="D5" s="36"/>
      <c r="E5" s="36"/>
      <c r="F5" s="36"/>
      <c r="G5" s="36"/>
      <c r="H5" s="36"/>
      <c r="I5" s="36"/>
      <c r="J5" s="36"/>
      <c r="K5" s="35"/>
      <c r="L5" s="36"/>
    </row>
    <row r="6" spans="1:13" ht="12.75">
      <c r="A6" s="6" t="s">
        <v>675</v>
      </c>
      <c r="B6" s="7" t="s">
        <v>676</v>
      </c>
      <c r="C6" s="7" t="s">
        <v>677</v>
      </c>
      <c r="D6" s="7" t="str">
        <f>"0,8628"</f>
        <v>0,8628</v>
      </c>
      <c r="E6" s="8" t="s">
        <v>592</v>
      </c>
      <c r="F6" s="8" t="s">
        <v>593</v>
      </c>
      <c r="G6" s="9" t="s">
        <v>101</v>
      </c>
      <c r="H6" s="7" t="s">
        <v>101</v>
      </c>
      <c r="I6" s="9" t="s">
        <v>115</v>
      </c>
      <c r="J6" s="9"/>
      <c r="K6" s="6" t="s">
        <v>102</v>
      </c>
      <c r="L6" s="7" t="str">
        <f>"80,0247"</f>
        <v>80,0247</v>
      </c>
      <c r="M6" s="8" t="s">
        <v>21</v>
      </c>
    </row>
    <row r="8" spans="1:12" ht="15.75">
      <c r="A8" s="33" t="s">
        <v>103</v>
      </c>
      <c r="B8" s="34"/>
      <c r="C8" s="34"/>
      <c r="D8" s="34"/>
      <c r="E8" s="34"/>
      <c r="F8" s="34"/>
      <c r="G8" s="34"/>
      <c r="H8" s="34"/>
      <c r="I8" s="34"/>
      <c r="J8" s="34"/>
      <c r="K8" s="33"/>
      <c r="L8" s="34"/>
    </row>
    <row r="9" spans="1:13" ht="12.75">
      <c r="A9" s="6" t="s">
        <v>678</v>
      </c>
      <c r="B9" s="7" t="s">
        <v>679</v>
      </c>
      <c r="C9" s="7" t="s">
        <v>494</v>
      </c>
      <c r="D9" s="7" t="str">
        <f>"0,7862"</f>
        <v>0,7862</v>
      </c>
      <c r="E9" s="8" t="s">
        <v>133</v>
      </c>
      <c r="F9" s="8" t="s">
        <v>134</v>
      </c>
      <c r="G9" s="7" t="s">
        <v>92</v>
      </c>
      <c r="H9" s="9" t="s">
        <v>608</v>
      </c>
      <c r="I9" s="9" t="s">
        <v>608</v>
      </c>
      <c r="J9" s="9"/>
      <c r="K9" s="6" t="s">
        <v>279</v>
      </c>
      <c r="L9" s="7" t="str">
        <f>"96,2309"</f>
        <v>96,2309</v>
      </c>
      <c r="M9" s="8" t="s">
        <v>21</v>
      </c>
    </row>
    <row r="11" spans="1:12" ht="15.75">
      <c r="A11" s="33" t="s">
        <v>129</v>
      </c>
      <c r="B11" s="34"/>
      <c r="C11" s="34"/>
      <c r="D11" s="34"/>
      <c r="E11" s="34"/>
      <c r="F11" s="34"/>
      <c r="G11" s="34"/>
      <c r="H11" s="34"/>
      <c r="I11" s="34"/>
      <c r="J11" s="34"/>
      <c r="K11" s="33"/>
      <c r="L11" s="34"/>
    </row>
    <row r="12" spans="1:13" ht="12.75">
      <c r="A12" s="6" t="s">
        <v>504</v>
      </c>
      <c r="B12" s="7" t="s">
        <v>505</v>
      </c>
      <c r="C12" s="7" t="s">
        <v>506</v>
      </c>
      <c r="D12" s="7" t="str">
        <f>"0,7160"</f>
        <v>0,7160</v>
      </c>
      <c r="E12" s="8" t="s">
        <v>507</v>
      </c>
      <c r="F12" s="8" t="s">
        <v>507</v>
      </c>
      <c r="G12" s="7" t="s">
        <v>143</v>
      </c>
      <c r="H12" s="7" t="s">
        <v>204</v>
      </c>
      <c r="I12" s="9" t="s">
        <v>135</v>
      </c>
      <c r="J12" s="9"/>
      <c r="K12" s="6" t="s">
        <v>680</v>
      </c>
      <c r="L12" s="7" t="str">
        <f>"155,0103"</f>
        <v>155,0103</v>
      </c>
      <c r="M12" s="8" t="s">
        <v>21</v>
      </c>
    </row>
    <row r="14" spans="1:12" ht="15.75">
      <c r="A14" s="33" t="s">
        <v>214</v>
      </c>
      <c r="B14" s="34"/>
      <c r="C14" s="34"/>
      <c r="D14" s="34"/>
      <c r="E14" s="34"/>
      <c r="F14" s="34"/>
      <c r="G14" s="34"/>
      <c r="H14" s="34"/>
      <c r="I14" s="34"/>
      <c r="J14" s="34"/>
      <c r="K14" s="33"/>
      <c r="L14" s="34"/>
    </row>
    <row r="15" spans="1:13" ht="12.75">
      <c r="A15" s="6" t="s">
        <v>681</v>
      </c>
      <c r="B15" s="7" t="s">
        <v>682</v>
      </c>
      <c r="C15" s="7" t="s">
        <v>683</v>
      </c>
      <c r="D15" s="7" t="str">
        <f>"0,6174"</f>
        <v>0,6174</v>
      </c>
      <c r="E15" s="8" t="s">
        <v>684</v>
      </c>
      <c r="F15" s="8" t="s">
        <v>685</v>
      </c>
      <c r="G15" s="7" t="s">
        <v>319</v>
      </c>
      <c r="H15" s="7" t="s">
        <v>450</v>
      </c>
      <c r="I15" s="9" t="s">
        <v>686</v>
      </c>
      <c r="J15" s="9"/>
      <c r="K15" s="6" t="s">
        <v>463</v>
      </c>
      <c r="L15" s="7" t="str">
        <f>"135,8390"</f>
        <v>135,8390</v>
      </c>
      <c r="M15" s="8" t="s">
        <v>21</v>
      </c>
    </row>
    <row r="17" spans="1:12" ht="15.75">
      <c r="A17" s="33" t="s">
        <v>259</v>
      </c>
      <c r="B17" s="34"/>
      <c r="C17" s="34"/>
      <c r="D17" s="34"/>
      <c r="E17" s="34"/>
      <c r="F17" s="34"/>
      <c r="G17" s="34"/>
      <c r="H17" s="34"/>
      <c r="I17" s="34"/>
      <c r="J17" s="34"/>
      <c r="K17" s="33"/>
      <c r="L17" s="34"/>
    </row>
    <row r="18" spans="1:13" ht="12.75">
      <c r="A18" s="11" t="s">
        <v>687</v>
      </c>
      <c r="B18" s="12" t="s">
        <v>688</v>
      </c>
      <c r="C18" s="12" t="s">
        <v>689</v>
      </c>
      <c r="D18" s="12" t="str">
        <f>"0,5605"</f>
        <v>0,5605</v>
      </c>
      <c r="E18" s="13" t="s">
        <v>26</v>
      </c>
      <c r="F18" s="13" t="s">
        <v>90</v>
      </c>
      <c r="G18" s="12" t="s">
        <v>436</v>
      </c>
      <c r="H18" s="12" t="s">
        <v>437</v>
      </c>
      <c r="I18" s="14" t="s">
        <v>690</v>
      </c>
      <c r="J18" s="14"/>
      <c r="K18" s="11" t="s">
        <v>691</v>
      </c>
      <c r="L18" s="12" t="str">
        <f>"145,7300"</f>
        <v>145,7300</v>
      </c>
      <c r="M18" s="13" t="s">
        <v>21</v>
      </c>
    </row>
    <row r="19" spans="1:13" ht="12.75">
      <c r="A19" s="15" t="s">
        <v>692</v>
      </c>
      <c r="B19" s="16" t="s">
        <v>693</v>
      </c>
      <c r="C19" s="16" t="s">
        <v>694</v>
      </c>
      <c r="D19" s="16" t="str">
        <f>"0,5775"</f>
        <v>0,5775</v>
      </c>
      <c r="E19" s="17" t="s">
        <v>684</v>
      </c>
      <c r="F19" s="17" t="s">
        <v>685</v>
      </c>
      <c r="G19" s="16" t="s">
        <v>442</v>
      </c>
      <c r="H19" s="18" t="s">
        <v>436</v>
      </c>
      <c r="I19" s="18" t="s">
        <v>436</v>
      </c>
      <c r="J19" s="18"/>
      <c r="K19" s="15" t="s">
        <v>598</v>
      </c>
      <c r="L19" s="16" t="str">
        <f>"132,8250"</f>
        <v>132,8250</v>
      </c>
      <c r="M19" s="17" t="s">
        <v>21</v>
      </c>
    </row>
    <row r="21" spans="1:12" ht="15.75">
      <c r="A21" s="33" t="s">
        <v>286</v>
      </c>
      <c r="B21" s="34"/>
      <c r="C21" s="34"/>
      <c r="D21" s="34"/>
      <c r="E21" s="34"/>
      <c r="F21" s="34"/>
      <c r="G21" s="34"/>
      <c r="H21" s="34"/>
      <c r="I21" s="34"/>
      <c r="J21" s="34"/>
      <c r="K21" s="33"/>
      <c r="L21" s="34"/>
    </row>
    <row r="22" spans="1:13" ht="12.75">
      <c r="A22" s="6" t="s">
        <v>586</v>
      </c>
      <c r="B22" s="7" t="s">
        <v>587</v>
      </c>
      <c r="C22" s="7" t="s">
        <v>588</v>
      </c>
      <c r="D22" s="7" t="str">
        <f>"0,5404"</f>
        <v>0,5404</v>
      </c>
      <c r="E22" s="8" t="s">
        <v>26</v>
      </c>
      <c r="F22" s="8" t="s">
        <v>90</v>
      </c>
      <c r="G22" s="9" t="s">
        <v>163</v>
      </c>
      <c r="H22" s="9" t="s">
        <v>427</v>
      </c>
      <c r="I22" s="7" t="s">
        <v>427</v>
      </c>
      <c r="J22" s="9"/>
      <c r="K22" s="6" t="s">
        <v>594</v>
      </c>
      <c r="L22" s="7" t="str">
        <f>"116,0239"</f>
        <v>116,0239</v>
      </c>
      <c r="M22" s="8" t="s">
        <v>21</v>
      </c>
    </row>
    <row r="24" spans="1:12" ht="15.75">
      <c r="A24" s="33" t="s">
        <v>300</v>
      </c>
      <c r="B24" s="34"/>
      <c r="C24" s="34"/>
      <c r="D24" s="34"/>
      <c r="E24" s="34"/>
      <c r="F24" s="34"/>
      <c r="G24" s="34"/>
      <c r="H24" s="34"/>
      <c r="I24" s="34"/>
      <c r="J24" s="34"/>
      <c r="K24" s="33"/>
      <c r="L24" s="34"/>
    </row>
    <row r="25" spans="1:13" ht="12.75">
      <c r="A25" s="11" t="s">
        <v>695</v>
      </c>
      <c r="B25" s="12" t="s">
        <v>696</v>
      </c>
      <c r="C25" s="12" t="s">
        <v>697</v>
      </c>
      <c r="D25" s="12" t="str">
        <f>"0,5224"</f>
        <v>0,5224</v>
      </c>
      <c r="E25" s="13" t="s">
        <v>133</v>
      </c>
      <c r="F25" s="13" t="s">
        <v>134</v>
      </c>
      <c r="G25" s="12" t="s">
        <v>698</v>
      </c>
      <c r="H25" s="14" t="s">
        <v>699</v>
      </c>
      <c r="I25" s="14" t="s">
        <v>700</v>
      </c>
      <c r="J25" s="14"/>
      <c r="K25" s="11" t="s">
        <v>701</v>
      </c>
      <c r="L25" s="12" t="str">
        <f>"172,3920"</f>
        <v>172,3920</v>
      </c>
      <c r="M25" s="13" t="s">
        <v>21</v>
      </c>
    </row>
    <row r="26" spans="1:13" ht="12.75">
      <c r="A26" s="19" t="s">
        <v>702</v>
      </c>
      <c r="B26" s="20" t="s">
        <v>703</v>
      </c>
      <c r="C26" s="20" t="s">
        <v>704</v>
      </c>
      <c r="D26" s="20" t="str">
        <f>"0,5286"</f>
        <v>0,5286</v>
      </c>
      <c r="E26" s="21" t="s">
        <v>592</v>
      </c>
      <c r="F26" s="21" t="s">
        <v>593</v>
      </c>
      <c r="G26" s="20" t="s">
        <v>705</v>
      </c>
      <c r="H26" s="22" t="s">
        <v>706</v>
      </c>
      <c r="I26" s="22" t="s">
        <v>707</v>
      </c>
      <c r="J26" s="22"/>
      <c r="K26" s="19" t="s">
        <v>708</v>
      </c>
      <c r="L26" s="20" t="str">
        <f>"161,2078"</f>
        <v>161,2078</v>
      </c>
      <c r="M26" s="21" t="s">
        <v>709</v>
      </c>
    </row>
    <row r="27" spans="1:13" ht="12.75">
      <c r="A27" s="15" t="s">
        <v>710</v>
      </c>
      <c r="B27" s="16" t="s">
        <v>711</v>
      </c>
      <c r="C27" s="16" t="s">
        <v>712</v>
      </c>
      <c r="D27" s="16" t="str">
        <f>"0,5322"</f>
        <v>0,5322</v>
      </c>
      <c r="E27" s="17" t="s">
        <v>713</v>
      </c>
      <c r="F27" s="17" t="s">
        <v>714</v>
      </c>
      <c r="G27" s="16" t="s">
        <v>92</v>
      </c>
      <c r="H27" s="16" t="s">
        <v>192</v>
      </c>
      <c r="I27" s="18" t="s">
        <v>219</v>
      </c>
      <c r="J27" s="18"/>
      <c r="K27" s="15" t="s">
        <v>193</v>
      </c>
      <c r="L27" s="16" t="str">
        <f>"95,4767"</f>
        <v>95,4767</v>
      </c>
      <c r="M27" s="17" t="s">
        <v>21</v>
      </c>
    </row>
    <row r="29" ht="15.75">
      <c r="E29" s="23" t="s">
        <v>325</v>
      </c>
    </row>
    <row r="30" ht="15.75">
      <c r="E30" s="23" t="s">
        <v>326</v>
      </c>
    </row>
    <row r="31" ht="15.75">
      <c r="E31" s="23" t="s">
        <v>327</v>
      </c>
    </row>
    <row r="32" ht="15.75">
      <c r="E32" s="23" t="s">
        <v>328</v>
      </c>
    </row>
    <row r="33" ht="15.75">
      <c r="E33" s="23" t="s">
        <v>328</v>
      </c>
    </row>
    <row r="34" ht="15.75">
      <c r="E34" s="23" t="s">
        <v>329</v>
      </c>
    </row>
    <row r="35" ht="15.75">
      <c r="E35" s="23"/>
    </row>
    <row r="37" spans="1:2" ht="18">
      <c r="A37" s="24" t="s">
        <v>330</v>
      </c>
      <c r="B37" s="25"/>
    </row>
    <row r="38" spans="1:2" ht="15.75">
      <c r="A38" s="26" t="s">
        <v>331</v>
      </c>
      <c r="B38" s="10"/>
    </row>
    <row r="39" spans="1:2" ht="13.5">
      <c r="A39" s="28"/>
      <c r="B39" s="29" t="s">
        <v>353</v>
      </c>
    </row>
    <row r="40" spans="1:5" ht="13.5">
      <c r="A40" s="30" t="s">
        <v>333</v>
      </c>
      <c r="B40" s="30" t="s">
        <v>334</v>
      </c>
      <c r="C40" s="30" t="s">
        <v>335</v>
      </c>
      <c r="D40" s="30" t="s">
        <v>336</v>
      </c>
      <c r="E40" s="30" t="s">
        <v>337</v>
      </c>
    </row>
    <row r="41" spans="1:5" ht="12.75">
      <c r="A41" s="27" t="s">
        <v>675</v>
      </c>
      <c r="B41" s="1" t="s">
        <v>632</v>
      </c>
      <c r="C41" s="1" t="s">
        <v>340</v>
      </c>
      <c r="D41" s="1" t="s">
        <v>101</v>
      </c>
      <c r="E41" s="4" t="s">
        <v>715</v>
      </c>
    </row>
    <row r="43" spans="1:2" ht="13.5">
      <c r="A43" s="28"/>
      <c r="B43" s="29" t="s">
        <v>361</v>
      </c>
    </row>
    <row r="44" spans="1:5" ht="13.5">
      <c r="A44" s="30" t="s">
        <v>333</v>
      </c>
      <c r="B44" s="30" t="s">
        <v>334</v>
      </c>
      <c r="C44" s="30" t="s">
        <v>335</v>
      </c>
      <c r="D44" s="30" t="s">
        <v>336</v>
      </c>
      <c r="E44" s="30" t="s">
        <v>337</v>
      </c>
    </row>
    <row r="45" spans="1:5" ht="12.75">
      <c r="A45" s="27" t="s">
        <v>678</v>
      </c>
      <c r="B45" s="1" t="s">
        <v>362</v>
      </c>
      <c r="C45" s="1" t="s">
        <v>355</v>
      </c>
      <c r="D45" s="1" t="s">
        <v>92</v>
      </c>
      <c r="E45" s="4" t="s">
        <v>716</v>
      </c>
    </row>
    <row r="48" spans="1:2" ht="15.75">
      <c r="A48" s="26" t="s">
        <v>352</v>
      </c>
      <c r="B48" s="10"/>
    </row>
    <row r="49" spans="1:2" ht="13.5">
      <c r="A49" s="28"/>
      <c r="B49" s="29" t="s">
        <v>353</v>
      </c>
    </row>
    <row r="50" spans="1:5" ht="13.5">
      <c r="A50" s="30" t="s">
        <v>333</v>
      </c>
      <c r="B50" s="30" t="s">
        <v>334</v>
      </c>
      <c r="C50" s="30" t="s">
        <v>335</v>
      </c>
      <c r="D50" s="30" t="s">
        <v>336</v>
      </c>
      <c r="E50" s="30" t="s">
        <v>337</v>
      </c>
    </row>
    <row r="51" spans="1:5" ht="12.75">
      <c r="A51" s="27" t="s">
        <v>586</v>
      </c>
      <c r="B51" s="1" t="s">
        <v>357</v>
      </c>
      <c r="C51" s="1" t="s">
        <v>379</v>
      </c>
      <c r="D51" s="1" t="s">
        <v>427</v>
      </c>
      <c r="E51" s="4" t="s">
        <v>717</v>
      </c>
    </row>
    <row r="53" spans="1:2" ht="13.5">
      <c r="A53" s="28"/>
      <c r="B53" s="29" t="s">
        <v>332</v>
      </c>
    </row>
    <row r="54" spans="1:5" ht="13.5">
      <c r="A54" s="30" t="s">
        <v>333</v>
      </c>
      <c r="B54" s="30" t="s">
        <v>334</v>
      </c>
      <c r="C54" s="30" t="s">
        <v>335</v>
      </c>
      <c r="D54" s="30" t="s">
        <v>336</v>
      </c>
      <c r="E54" s="30" t="s">
        <v>337</v>
      </c>
    </row>
    <row r="55" spans="1:5" ht="12.75">
      <c r="A55" s="27" t="s">
        <v>695</v>
      </c>
      <c r="B55" s="1" t="s">
        <v>332</v>
      </c>
      <c r="C55" s="1" t="s">
        <v>403</v>
      </c>
      <c r="D55" s="1" t="s">
        <v>698</v>
      </c>
      <c r="E55" s="4" t="s">
        <v>718</v>
      </c>
    </row>
    <row r="56" spans="1:5" ht="12.75">
      <c r="A56" s="27" t="s">
        <v>702</v>
      </c>
      <c r="B56" s="1" t="s">
        <v>332</v>
      </c>
      <c r="C56" s="1" t="s">
        <v>403</v>
      </c>
      <c r="D56" s="1" t="s">
        <v>705</v>
      </c>
      <c r="E56" s="4" t="s">
        <v>719</v>
      </c>
    </row>
    <row r="57" spans="1:5" ht="12.75">
      <c r="A57" s="27" t="s">
        <v>687</v>
      </c>
      <c r="B57" s="1" t="s">
        <v>332</v>
      </c>
      <c r="C57" s="1" t="s">
        <v>363</v>
      </c>
      <c r="D57" s="1" t="s">
        <v>437</v>
      </c>
      <c r="E57" s="4" t="s">
        <v>720</v>
      </c>
    </row>
    <row r="58" spans="1:5" ht="12.75">
      <c r="A58" s="27" t="s">
        <v>681</v>
      </c>
      <c r="B58" s="1" t="s">
        <v>332</v>
      </c>
      <c r="C58" s="1" t="s">
        <v>370</v>
      </c>
      <c r="D58" s="1" t="s">
        <v>450</v>
      </c>
      <c r="E58" s="4" t="s">
        <v>721</v>
      </c>
    </row>
    <row r="59" spans="1:5" ht="12.75">
      <c r="A59" s="27" t="s">
        <v>692</v>
      </c>
      <c r="B59" s="1" t="s">
        <v>332</v>
      </c>
      <c r="C59" s="1" t="s">
        <v>363</v>
      </c>
      <c r="D59" s="1" t="s">
        <v>442</v>
      </c>
      <c r="E59" s="4" t="s">
        <v>722</v>
      </c>
    </row>
    <row r="61" spans="1:2" ht="13.5">
      <c r="A61" s="28"/>
      <c r="B61" s="29" t="s">
        <v>347</v>
      </c>
    </row>
    <row r="62" spans="1:5" ht="13.5">
      <c r="A62" s="30" t="s">
        <v>333</v>
      </c>
      <c r="B62" s="30" t="s">
        <v>334</v>
      </c>
      <c r="C62" s="30" t="s">
        <v>335</v>
      </c>
      <c r="D62" s="30" t="s">
        <v>336</v>
      </c>
      <c r="E62" s="30" t="s">
        <v>337</v>
      </c>
    </row>
    <row r="63" spans="1:5" ht="12.75">
      <c r="A63" s="27" t="s">
        <v>504</v>
      </c>
      <c r="B63" s="1" t="s">
        <v>660</v>
      </c>
      <c r="C63" s="1" t="s">
        <v>392</v>
      </c>
      <c r="D63" s="1" t="s">
        <v>204</v>
      </c>
      <c r="E63" s="4" t="s">
        <v>723</v>
      </c>
    </row>
    <row r="64" spans="1:5" ht="12.75">
      <c r="A64" s="27" t="s">
        <v>710</v>
      </c>
      <c r="B64" s="1" t="s">
        <v>399</v>
      </c>
      <c r="C64" s="1" t="s">
        <v>403</v>
      </c>
      <c r="D64" s="1" t="s">
        <v>192</v>
      </c>
      <c r="E64" s="4" t="s">
        <v>724</v>
      </c>
    </row>
  </sheetData>
  <sheetProtection/>
  <mergeCells count="18">
    <mergeCell ref="A21:L21"/>
    <mergeCell ref="A24:L24"/>
    <mergeCell ref="M3:M4"/>
    <mergeCell ref="A5:L5"/>
    <mergeCell ref="A8:L8"/>
    <mergeCell ref="A11:L11"/>
    <mergeCell ref="A14:L14"/>
    <mergeCell ref="A17:L17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workbookViewId="0" topLeftCell="A1">
      <selection activeCell="A1" sqref="A1:U2"/>
    </sheetView>
  </sheetViews>
  <sheetFormatPr defaultColWidth="9.125" defaultRowHeight="12.75"/>
  <cols>
    <col min="1" max="1" width="34.625" style="4" bestFit="1" customWidth="1"/>
    <col min="2" max="2" width="26.875" style="1" bestFit="1" customWidth="1"/>
    <col min="3" max="3" width="57.375" style="1" bestFit="1" customWidth="1"/>
    <col min="4" max="4" width="9.25390625" style="1" bestFit="1" customWidth="1"/>
    <col min="5" max="5" width="22.75390625" style="5" bestFit="1" customWidth="1"/>
    <col min="6" max="6" width="33.125" style="5" bestFit="1" customWidth="1"/>
    <col min="7" max="9" width="5.625" style="1" bestFit="1" customWidth="1"/>
    <col min="10" max="10" width="4.625" style="1" bestFit="1" customWidth="1"/>
    <col min="11" max="13" width="5.625" style="1" bestFit="1" customWidth="1"/>
    <col min="14" max="14" width="4.625" style="1" bestFit="1" customWidth="1"/>
    <col min="15" max="17" width="5.625" style="1" bestFit="1" customWidth="1"/>
    <col min="18" max="18" width="4.625" style="1" bestFit="1" customWidth="1"/>
    <col min="19" max="19" width="7.875" style="4" bestFit="1" customWidth="1"/>
    <col min="20" max="20" width="8.625" style="1" bestFit="1" customWidth="1"/>
    <col min="21" max="21" width="24.625" style="5" bestFit="1" customWidth="1"/>
    <col min="22" max="16384" width="9.125" style="1" customWidth="1"/>
  </cols>
  <sheetData>
    <row r="1" spans="1:21" ht="15" customHeight="1">
      <c r="A1" s="39" t="s">
        <v>1246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ht="66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2" customFormat="1" ht="12.75" customHeight="1">
      <c r="A3" s="45" t="s">
        <v>0</v>
      </c>
      <c r="B3" s="47" t="s">
        <v>9</v>
      </c>
      <c r="C3" s="37" t="s">
        <v>3</v>
      </c>
      <c r="D3" s="37" t="s">
        <v>11</v>
      </c>
      <c r="E3" s="37" t="s">
        <v>6</v>
      </c>
      <c r="F3" s="37" t="s">
        <v>8</v>
      </c>
      <c r="G3" s="37" t="s">
        <v>418</v>
      </c>
      <c r="H3" s="37"/>
      <c r="I3" s="37"/>
      <c r="J3" s="37"/>
      <c r="K3" s="37" t="s">
        <v>1</v>
      </c>
      <c r="L3" s="37"/>
      <c r="M3" s="37"/>
      <c r="N3" s="37"/>
      <c r="O3" s="37" t="s">
        <v>419</v>
      </c>
      <c r="P3" s="37"/>
      <c r="Q3" s="37"/>
      <c r="R3" s="37"/>
      <c r="S3" s="37" t="s">
        <v>2</v>
      </c>
      <c r="T3" s="37" t="s">
        <v>5</v>
      </c>
      <c r="U3" s="48" t="s">
        <v>4</v>
      </c>
    </row>
    <row r="4" spans="1:21" s="2" customFormat="1" ht="21" customHeight="1" thickBot="1">
      <c r="A4" s="46"/>
      <c r="B4" s="38"/>
      <c r="C4" s="38"/>
      <c r="D4" s="38"/>
      <c r="E4" s="38"/>
      <c r="F4" s="38"/>
      <c r="G4" s="3">
        <v>1</v>
      </c>
      <c r="H4" s="3">
        <v>2</v>
      </c>
      <c r="I4" s="3">
        <v>3</v>
      </c>
      <c r="J4" s="3" t="s">
        <v>7</v>
      </c>
      <c r="K4" s="3">
        <v>1</v>
      </c>
      <c r="L4" s="3">
        <v>2</v>
      </c>
      <c r="M4" s="3">
        <v>3</v>
      </c>
      <c r="N4" s="3" t="s">
        <v>7</v>
      </c>
      <c r="O4" s="3">
        <v>1</v>
      </c>
      <c r="P4" s="3">
        <v>2</v>
      </c>
      <c r="Q4" s="3">
        <v>3</v>
      </c>
      <c r="R4" s="3" t="s">
        <v>7</v>
      </c>
      <c r="S4" s="38"/>
      <c r="T4" s="38"/>
      <c r="U4" s="49"/>
    </row>
    <row r="5" spans="1:20" ht="15.75">
      <c r="A5" s="35" t="s">
        <v>22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5"/>
      <c r="T5" s="36"/>
    </row>
    <row r="6" spans="1:21" ht="12.75">
      <c r="A6" s="6" t="s">
        <v>1247</v>
      </c>
      <c r="B6" s="7" t="s">
        <v>1248</v>
      </c>
      <c r="C6" s="7" t="s">
        <v>1249</v>
      </c>
      <c r="D6" s="7" t="str">
        <f>"0,9927"</f>
        <v>0,9927</v>
      </c>
      <c r="E6" s="8" t="s">
        <v>1250</v>
      </c>
      <c r="F6" s="8" t="s">
        <v>1251</v>
      </c>
      <c r="G6" s="7" t="s">
        <v>45</v>
      </c>
      <c r="H6" s="7" t="s">
        <v>28</v>
      </c>
      <c r="I6" s="7" t="s">
        <v>60</v>
      </c>
      <c r="J6" s="9"/>
      <c r="K6" s="7" t="s">
        <v>1144</v>
      </c>
      <c r="L6" s="7" t="s">
        <v>740</v>
      </c>
      <c r="M6" s="9" t="s">
        <v>36</v>
      </c>
      <c r="N6" s="9"/>
      <c r="O6" s="7" t="s">
        <v>60</v>
      </c>
      <c r="P6" s="7" t="s">
        <v>756</v>
      </c>
      <c r="Q6" s="9" t="s">
        <v>67</v>
      </c>
      <c r="R6" s="9"/>
      <c r="S6" s="6" t="s">
        <v>164</v>
      </c>
      <c r="T6" s="7" t="str">
        <f>"178,6860"</f>
        <v>178,6860</v>
      </c>
      <c r="U6" s="8" t="s">
        <v>21</v>
      </c>
    </row>
    <row r="8" spans="1:20" ht="15.75">
      <c r="A8" s="33" t="s">
        <v>38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3"/>
      <c r="T8" s="34"/>
    </row>
    <row r="9" spans="1:21" ht="12.75">
      <c r="A9" s="11" t="s">
        <v>1252</v>
      </c>
      <c r="B9" s="12" t="s">
        <v>1253</v>
      </c>
      <c r="C9" s="12" t="s">
        <v>1254</v>
      </c>
      <c r="D9" s="12" t="str">
        <f>"0,9208"</f>
        <v>0,9208</v>
      </c>
      <c r="E9" s="13" t="s">
        <v>65</v>
      </c>
      <c r="F9" s="13" t="s">
        <v>776</v>
      </c>
      <c r="G9" s="12" t="s">
        <v>143</v>
      </c>
      <c r="H9" s="12" t="s">
        <v>204</v>
      </c>
      <c r="I9" s="14" t="s">
        <v>91</v>
      </c>
      <c r="J9" s="14"/>
      <c r="K9" s="12" t="s">
        <v>488</v>
      </c>
      <c r="L9" s="12" t="s">
        <v>45</v>
      </c>
      <c r="M9" s="14" t="s">
        <v>28</v>
      </c>
      <c r="N9" s="14"/>
      <c r="O9" s="14" t="s">
        <v>204</v>
      </c>
      <c r="P9" s="12" t="s">
        <v>204</v>
      </c>
      <c r="Q9" s="14" t="s">
        <v>135</v>
      </c>
      <c r="R9" s="14"/>
      <c r="S9" s="11" t="s">
        <v>1255</v>
      </c>
      <c r="T9" s="12" t="str">
        <f>"246,3140"</f>
        <v>246,3140</v>
      </c>
      <c r="U9" s="13" t="s">
        <v>21</v>
      </c>
    </row>
    <row r="10" spans="1:21" ht="12.75">
      <c r="A10" s="15" t="s">
        <v>1256</v>
      </c>
      <c r="B10" s="16" t="s">
        <v>1257</v>
      </c>
      <c r="C10" s="16" t="s">
        <v>1258</v>
      </c>
      <c r="D10" s="16" t="str">
        <f>"0,9270"</f>
        <v>0,9270</v>
      </c>
      <c r="E10" s="17" t="s">
        <v>34</v>
      </c>
      <c r="F10" s="17" t="s">
        <v>35</v>
      </c>
      <c r="G10" s="18" t="s">
        <v>99</v>
      </c>
      <c r="H10" s="18" t="s">
        <v>99</v>
      </c>
      <c r="I10" s="18" t="s">
        <v>99</v>
      </c>
      <c r="J10" s="18"/>
      <c r="K10" s="18" t="s">
        <v>739</v>
      </c>
      <c r="L10" s="18" t="s">
        <v>82</v>
      </c>
      <c r="M10" s="18" t="s">
        <v>82</v>
      </c>
      <c r="N10" s="18"/>
      <c r="O10" s="18" t="s">
        <v>110</v>
      </c>
      <c r="P10" s="18" t="s">
        <v>82</v>
      </c>
      <c r="Q10" s="18" t="s">
        <v>82</v>
      </c>
      <c r="R10" s="18"/>
      <c r="S10" s="15" t="s">
        <v>68</v>
      </c>
      <c r="T10" s="16" t="str">
        <f>"0,0000"</f>
        <v>0,0000</v>
      </c>
      <c r="U10" s="17" t="s">
        <v>21</v>
      </c>
    </row>
    <row r="12" spans="1:20" ht="15.75">
      <c r="A12" s="33" t="s">
        <v>22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3"/>
      <c r="T12" s="34"/>
    </row>
    <row r="13" spans="1:21" ht="12.75">
      <c r="A13" s="6" t="s">
        <v>1259</v>
      </c>
      <c r="B13" s="7" t="s">
        <v>1260</v>
      </c>
      <c r="C13" s="7" t="s">
        <v>1261</v>
      </c>
      <c r="D13" s="7" t="str">
        <f>"1,1075"</f>
        <v>1,1075</v>
      </c>
      <c r="E13" s="8" t="s">
        <v>542</v>
      </c>
      <c r="F13" s="8" t="s">
        <v>543</v>
      </c>
      <c r="G13" s="7" t="s">
        <v>109</v>
      </c>
      <c r="H13" s="9" t="s">
        <v>127</v>
      </c>
      <c r="I13" s="9" t="s">
        <v>127</v>
      </c>
      <c r="J13" s="9"/>
      <c r="K13" s="7" t="s">
        <v>738</v>
      </c>
      <c r="L13" s="7" t="s">
        <v>739</v>
      </c>
      <c r="M13" s="9" t="s">
        <v>36</v>
      </c>
      <c r="N13" s="9"/>
      <c r="O13" s="7" t="s">
        <v>756</v>
      </c>
      <c r="P13" s="7" t="s">
        <v>99</v>
      </c>
      <c r="Q13" s="9" t="s">
        <v>1071</v>
      </c>
      <c r="R13" s="9"/>
      <c r="S13" s="6" t="s">
        <v>594</v>
      </c>
      <c r="T13" s="7" t="str">
        <f>"258,8227"</f>
        <v>258,8227</v>
      </c>
      <c r="U13" s="8" t="s">
        <v>21</v>
      </c>
    </row>
    <row r="15" spans="1:20" ht="15.75">
      <c r="A15" s="33" t="s">
        <v>38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3"/>
      <c r="T15" s="34"/>
    </row>
    <row r="16" spans="1:21" ht="12.75">
      <c r="A16" s="6" t="s">
        <v>1262</v>
      </c>
      <c r="B16" s="7" t="s">
        <v>1263</v>
      </c>
      <c r="C16" s="7" t="s">
        <v>1264</v>
      </c>
      <c r="D16" s="7" t="str">
        <f>"0,8756"</f>
        <v>0,8756</v>
      </c>
      <c r="E16" s="8" t="s">
        <v>79</v>
      </c>
      <c r="F16" s="8" t="s">
        <v>80</v>
      </c>
      <c r="G16" s="7" t="s">
        <v>91</v>
      </c>
      <c r="H16" s="7" t="s">
        <v>218</v>
      </c>
      <c r="I16" s="7" t="s">
        <v>192</v>
      </c>
      <c r="J16" s="9"/>
      <c r="K16" s="7" t="s">
        <v>100</v>
      </c>
      <c r="L16" s="7" t="s">
        <v>110</v>
      </c>
      <c r="M16" s="9" t="s">
        <v>115</v>
      </c>
      <c r="N16" s="9"/>
      <c r="O16" s="7" t="s">
        <v>154</v>
      </c>
      <c r="P16" s="9" t="s">
        <v>186</v>
      </c>
      <c r="Q16" s="7" t="s">
        <v>186</v>
      </c>
      <c r="R16" s="9"/>
      <c r="S16" s="6" t="s">
        <v>1265</v>
      </c>
      <c r="T16" s="7" t="str">
        <f>"338,7890"</f>
        <v>338,7890</v>
      </c>
      <c r="U16" s="8" t="s">
        <v>21</v>
      </c>
    </row>
    <row r="18" spans="1:20" ht="15.75">
      <c r="A18" s="33" t="s">
        <v>129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3"/>
      <c r="T18" s="34"/>
    </row>
    <row r="19" spans="1:21" ht="12.75">
      <c r="A19" s="11" t="s">
        <v>1266</v>
      </c>
      <c r="B19" s="12" t="s">
        <v>1267</v>
      </c>
      <c r="C19" s="12" t="s">
        <v>1268</v>
      </c>
      <c r="D19" s="12" t="str">
        <f>"0,6898"</f>
        <v>0,6898</v>
      </c>
      <c r="E19" s="13" t="s">
        <v>34</v>
      </c>
      <c r="F19" s="13" t="s">
        <v>35</v>
      </c>
      <c r="G19" s="12" t="s">
        <v>109</v>
      </c>
      <c r="H19" s="12" t="s">
        <v>127</v>
      </c>
      <c r="I19" s="12" t="s">
        <v>100</v>
      </c>
      <c r="J19" s="14"/>
      <c r="K19" s="12" t="s">
        <v>488</v>
      </c>
      <c r="L19" s="12" t="s">
        <v>28</v>
      </c>
      <c r="M19" s="12" t="s">
        <v>109</v>
      </c>
      <c r="N19" s="14"/>
      <c r="O19" s="12" t="s">
        <v>143</v>
      </c>
      <c r="P19" s="12" t="s">
        <v>136</v>
      </c>
      <c r="Q19" s="12" t="s">
        <v>91</v>
      </c>
      <c r="R19" s="14"/>
      <c r="S19" s="11" t="s">
        <v>1269</v>
      </c>
      <c r="T19" s="12" t="str">
        <f>"229,0826"</f>
        <v>229,0826</v>
      </c>
      <c r="U19" s="13" t="s">
        <v>21</v>
      </c>
    </row>
    <row r="20" spans="1:21" ht="12.75">
      <c r="A20" s="19" t="s">
        <v>1270</v>
      </c>
      <c r="B20" s="20" t="s">
        <v>1271</v>
      </c>
      <c r="C20" s="20" t="s">
        <v>1272</v>
      </c>
      <c r="D20" s="20" t="str">
        <f>"0,6767"</f>
        <v>0,6767</v>
      </c>
      <c r="E20" s="21" t="s">
        <v>26</v>
      </c>
      <c r="F20" s="21" t="s">
        <v>90</v>
      </c>
      <c r="G20" s="20" t="s">
        <v>181</v>
      </c>
      <c r="H20" s="20" t="s">
        <v>162</v>
      </c>
      <c r="I20" s="22" t="s">
        <v>225</v>
      </c>
      <c r="J20" s="22"/>
      <c r="K20" s="20" t="s">
        <v>219</v>
      </c>
      <c r="L20" s="20" t="s">
        <v>186</v>
      </c>
      <c r="M20" s="22" t="s">
        <v>187</v>
      </c>
      <c r="N20" s="22"/>
      <c r="O20" s="20" t="s">
        <v>319</v>
      </c>
      <c r="P20" s="22" t="s">
        <v>686</v>
      </c>
      <c r="Q20" s="22" t="s">
        <v>686</v>
      </c>
      <c r="R20" s="22"/>
      <c r="S20" s="19" t="s">
        <v>1273</v>
      </c>
      <c r="T20" s="20" t="str">
        <f>"362,2375"</f>
        <v>362,2375</v>
      </c>
      <c r="U20" s="21" t="s">
        <v>21</v>
      </c>
    </row>
    <row r="21" spans="1:21" ht="12.75">
      <c r="A21" s="19" t="s">
        <v>1274</v>
      </c>
      <c r="B21" s="20" t="s">
        <v>1275</v>
      </c>
      <c r="C21" s="20" t="s">
        <v>944</v>
      </c>
      <c r="D21" s="20" t="str">
        <f>"0,6645"</f>
        <v>0,6645</v>
      </c>
      <c r="E21" s="21" t="s">
        <v>34</v>
      </c>
      <c r="F21" s="21" t="s">
        <v>35</v>
      </c>
      <c r="G21" s="22" t="s">
        <v>187</v>
      </c>
      <c r="H21" s="22" t="s">
        <v>187</v>
      </c>
      <c r="I21" s="20" t="s">
        <v>187</v>
      </c>
      <c r="J21" s="22"/>
      <c r="K21" s="22" t="s">
        <v>136</v>
      </c>
      <c r="L21" s="22" t="s">
        <v>136</v>
      </c>
      <c r="M21" s="22" t="s">
        <v>136</v>
      </c>
      <c r="N21" s="22"/>
      <c r="O21" s="22" t="s">
        <v>163</v>
      </c>
      <c r="P21" s="22" t="s">
        <v>82</v>
      </c>
      <c r="Q21" s="22" t="s">
        <v>82</v>
      </c>
      <c r="R21" s="22"/>
      <c r="S21" s="19" t="s">
        <v>68</v>
      </c>
      <c r="T21" s="20" t="str">
        <f>"0,0000"</f>
        <v>0,0000</v>
      </c>
      <c r="U21" s="21" t="s">
        <v>21</v>
      </c>
    </row>
    <row r="22" spans="1:21" ht="12.75">
      <c r="A22" s="15" t="s">
        <v>1276</v>
      </c>
      <c r="B22" s="16" t="s">
        <v>1277</v>
      </c>
      <c r="C22" s="16" t="s">
        <v>767</v>
      </c>
      <c r="D22" s="16" t="str">
        <f>"0,6770"</f>
        <v>0,6770</v>
      </c>
      <c r="E22" s="17" t="s">
        <v>523</v>
      </c>
      <c r="F22" s="17" t="s">
        <v>524</v>
      </c>
      <c r="G22" s="16" t="s">
        <v>154</v>
      </c>
      <c r="H22" s="18" t="s">
        <v>175</v>
      </c>
      <c r="I22" s="16" t="s">
        <v>161</v>
      </c>
      <c r="J22" s="18"/>
      <c r="K22" s="16" t="s">
        <v>99</v>
      </c>
      <c r="L22" s="16" t="s">
        <v>110</v>
      </c>
      <c r="M22" s="16" t="s">
        <v>143</v>
      </c>
      <c r="N22" s="18"/>
      <c r="O22" s="16" t="s">
        <v>163</v>
      </c>
      <c r="P22" s="16" t="s">
        <v>319</v>
      </c>
      <c r="Q22" s="18" t="s">
        <v>1278</v>
      </c>
      <c r="R22" s="18"/>
      <c r="S22" s="15" t="s">
        <v>1279</v>
      </c>
      <c r="T22" s="16" t="str">
        <f>"516,7246"</f>
        <v>516,7246</v>
      </c>
      <c r="U22" s="17" t="s">
        <v>21</v>
      </c>
    </row>
    <row r="24" spans="1:20" ht="15.75">
      <c r="A24" s="33" t="s">
        <v>150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3"/>
      <c r="T24" s="34"/>
    </row>
    <row r="25" spans="1:21" ht="12.75">
      <c r="A25" s="11" t="s">
        <v>1280</v>
      </c>
      <c r="B25" s="12" t="s">
        <v>1281</v>
      </c>
      <c r="C25" s="12" t="s">
        <v>191</v>
      </c>
      <c r="D25" s="12" t="str">
        <f>"0,6193"</f>
        <v>0,6193</v>
      </c>
      <c r="E25" s="13" t="s">
        <v>713</v>
      </c>
      <c r="F25" s="13" t="s">
        <v>714</v>
      </c>
      <c r="G25" s="12" t="s">
        <v>428</v>
      </c>
      <c r="H25" s="12" t="s">
        <v>319</v>
      </c>
      <c r="I25" s="12" t="s">
        <v>1282</v>
      </c>
      <c r="J25" s="14"/>
      <c r="K25" s="12" t="s">
        <v>285</v>
      </c>
      <c r="L25" s="14" t="s">
        <v>168</v>
      </c>
      <c r="M25" s="12" t="s">
        <v>168</v>
      </c>
      <c r="N25" s="14"/>
      <c r="O25" s="12" t="s">
        <v>442</v>
      </c>
      <c r="P25" s="12" t="s">
        <v>435</v>
      </c>
      <c r="Q25" s="12" t="s">
        <v>626</v>
      </c>
      <c r="R25" s="14"/>
      <c r="S25" s="11" t="s">
        <v>1283</v>
      </c>
      <c r="T25" s="12" t="str">
        <f>"408,9857"</f>
        <v>408,9857</v>
      </c>
      <c r="U25" s="13" t="s">
        <v>21</v>
      </c>
    </row>
    <row r="26" spans="1:21" ht="12.75">
      <c r="A26" s="19" t="s">
        <v>1284</v>
      </c>
      <c r="B26" s="20" t="s">
        <v>1285</v>
      </c>
      <c r="C26" s="20" t="s">
        <v>1286</v>
      </c>
      <c r="D26" s="20" t="str">
        <f>"0,6318"</f>
        <v>0,6318</v>
      </c>
      <c r="E26" s="21" t="s">
        <v>1287</v>
      </c>
      <c r="F26" s="21" t="s">
        <v>1288</v>
      </c>
      <c r="G26" s="22" t="s">
        <v>161</v>
      </c>
      <c r="H26" s="20" t="s">
        <v>161</v>
      </c>
      <c r="I26" s="20" t="s">
        <v>163</v>
      </c>
      <c r="J26" s="22"/>
      <c r="K26" s="20" t="s">
        <v>192</v>
      </c>
      <c r="L26" s="20" t="s">
        <v>219</v>
      </c>
      <c r="M26" s="22" t="s">
        <v>186</v>
      </c>
      <c r="N26" s="22"/>
      <c r="O26" s="20" t="s">
        <v>163</v>
      </c>
      <c r="P26" s="20" t="s">
        <v>428</v>
      </c>
      <c r="Q26" s="22" t="s">
        <v>319</v>
      </c>
      <c r="R26" s="22"/>
      <c r="S26" s="19" t="s">
        <v>1289</v>
      </c>
      <c r="T26" s="20" t="str">
        <f>"325,3770"</f>
        <v>325,3770</v>
      </c>
      <c r="U26" s="21" t="s">
        <v>21</v>
      </c>
    </row>
    <row r="27" spans="1:21" ht="12.75">
      <c r="A27" s="15" t="s">
        <v>1290</v>
      </c>
      <c r="B27" s="16" t="s">
        <v>1291</v>
      </c>
      <c r="C27" s="16" t="s">
        <v>1292</v>
      </c>
      <c r="D27" s="16" t="str">
        <f>"0,6298"</f>
        <v>0,6298</v>
      </c>
      <c r="E27" s="17" t="s">
        <v>1250</v>
      </c>
      <c r="F27" s="17" t="s">
        <v>1251</v>
      </c>
      <c r="G27" s="16" t="s">
        <v>290</v>
      </c>
      <c r="H27" s="16" t="s">
        <v>807</v>
      </c>
      <c r="I27" s="16" t="s">
        <v>560</v>
      </c>
      <c r="J27" s="18"/>
      <c r="K27" s="16" t="s">
        <v>92</v>
      </c>
      <c r="L27" s="16" t="s">
        <v>192</v>
      </c>
      <c r="M27" s="18" t="s">
        <v>219</v>
      </c>
      <c r="N27" s="18"/>
      <c r="O27" s="16" t="s">
        <v>163</v>
      </c>
      <c r="P27" s="16" t="s">
        <v>427</v>
      </c>
      <c r="Q27" s="18" t="s">
        <v>428</v>
      </c>
      <c r="R27" s="18"/>
      <c r="S27" s="15" t="s">
        <v>1293</v>
      </c>
      <c r="T27" s="16" t="str">
        <f>"336,9430"</f>
        <v>336,9430</v>
      </c>
      <c r="U27" s="17" t="s">
        <v>21</v>
      </c>
    </row>
    <row r="29" spans="1:20" ht="15.75">
      <c r="A29" s="33" t="s">
        <v>214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3"/>
      <c r="T29" s="34"/>
    </row>
    <row r="30" spans="1:21" ht="12.75">
      <c r="A30" s="6" t="s">
        <v>1294</v>
      </c>
      <c r="B30" s="7" t="s">
        <v>1295</v>
      </c>
      <c r="C30" s="7" t="s">
        <v>546</v>
      </c>
      <c r="D30" s="7" t="str">
        <f>"0,5903"</f>
        <v>0,5903</v>
      </c>
      <c r="E30" s="8" t="s">
        <v>34</v>
      </c>
      <c r="F30" s="8" t="s">
        <v>35</v>
      </c>
      <c r="G30" s="7" t="s">
        <v>319</v>
      </c>
      <c r="H30" s="7" t="s">
        <v>450</v>
      </c>
      <c r="I30" s="9" t="s">
        <v>442</v>
      </c>
      <c r="J30" s="9"/>
      <c r="K30" s="7" t="s">
        <v>154</v>
      </c>
      <c r="L30" s="7" t="s">
        <v>186</v>
      </c>
      <c r="M30" s="7" t="s">
        <v>155</v>
      </c>
      <c r="N30" s="9"/>
      <c r="O30" s="7" t="s">
        <v>319</v>
      </c>
      <c r="P30" s="7" t="s">
        <v>686</v>
      </c>
      <c r="Q30" s="7" t="s">
        <v>451</v>
      </c>
      <c r="R30" s="9"/>
      <c r="S30" s="6" t="s">
        <v>1296</v>
      </c>
      <c r="T30" s="7" t="str">
        <f>"355,6558"</f>
        <v>355,6558</v>
      </c>
      <c r="U30" s="8" t="s">
        <v>21</v>
      </c>
    </row>
    <row r="32" spans="1:20" ht="15.75">
      <c r="A32" s="33" t="s">
        <v>259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3"/>
      <c r="T32" s="34"/>
    </row>
    <row r="33" spans="1:21" ht="12.75">
      <c r="A33" s="11" t="s">
        <v>1297</v>
      </c>
      <c r="B33" s="12" t="s">
        <v>1298</v>
      </c>
      <c r="C33" s="12" t="s">
        <v>1299</v>
      </c>
      <c r="D33" s="12" t="str">
        <f>"0,5651"</f>
        <v>0,5651</v>
      </c>
      <c r="E33" s="13" t="s">
        <v>26</v>
      </c>
      <c r="F33" s="13" t="s">
        <v>90</v>
      </c>
      <c r="G33" s="14" t="s">
        <v>181</v>
      </c>
      <c r="H33" s="12" t="s">
        <v>181</v>
      </c>
      <c r="I33" s="12" t="s">
        <v>161</v>
      </c>
      <c r="J33" s="14"/>
      <c r="K33" s="12" t="s">
        <v>143</v>
      </c>
      <c r="L33" s="12" t="s">
        <v>136</v>
      </c>
      <c r="M33" s="12" t="s">
        <v>91</v>
      </c>
      <c r="N33" s="14"/>
      <c r="O33" s="12" t="s">
        <v>450</v>
      </c>
      <c r="P33" s="14" t="s">
        <v>443</v>
      </c>
      <c r="Q33" s="12" t="s">
        <v>443</v>
      </c>
      <c r="R33" s="14"/>
      <c r="S33" s="11" t="s">
        <v>1300</v>
      </c>
      <c r="T33" s="12" t="str">
        <f>"318,8859"</f>
        <v>318,8859</v>
      </c>
      <c r="U33" s="13" t="s">
        <v>21</v>
      </c>
    </row>
    <row r="34" spans="1:21" ht="12.75">
      <c r="A34" s="19" t="s">
        <v>260</v>
      </c>
      <c r="B34" s="20" t="s">
        <v>261</v>
      </c>
      <c r="C34" s="20" t="s">
        <v>1301</v>
      </c>
      <c r="D34" s="20" t="str">
        <f>"0,5572"</f>
        <v>0,5572</v>
      </c>
      <c r="E34" s="21" t="s">
        <v>50</v>
      </c>
      <c r="F34" s="21" t="s">
        <v>51</v>
      </c>
      <c r="G34" s="20" t="s">
        <v>442</v>
      </c>
      <c r="H34" s="20" t="s">
        <v>436</v>
      </c>
      <c r="I34" s="22" t="s">
        <v>82</v>
      </c>
      <c r="J34" s="22"/>
      <c r="K34" s="20" t="s">
        <v>161</v>
      </c>
      <c r="L34" s="20" t="s">
        <v>163</v>
      </c>
      <c r="M34" s="20" t="s">
        <v>225</v>
      </c>
      <c r="N34" s="22"/>
      <c r="O34" s="20" t="s">
        <v>435</v>
      </c>
      <c r="P34" s="20" t="s">
        <v>690</v>
      </c>
      <c r="Q34" s="22" t="s">
        <v>809</v>
      </c>
      <c r="R34" s="22"/>
      <c r="S34" s="19" t="s">
        <v>1302</v>
      </c>
      <c r="T34" s="20" t="str">
        <f>"392,7908"</f>
        <v>392,7908</v>
      </c>
      <c r="U34" s="21" t="s">
        <v>21</v>
      </c>
    </row>
    <row r="35" spans="1:21" ht="12.75">
      <c r="A35" s="19" t="s">
        <v>260</v>
      </c>
      <c r="B35" s="20" t="s">
        <v>1303</v>
      </c>
      <c r="C35" s="20" t="s">
        <v>1301</v>
      </c>
      <c r="D35" s="20" t="str">
        <f>"0,5572"</f>
        <v>0,5572</v>
      </c>
      <c r="E35" s="21" t="s">
        <v>50</v>
      </c>
      <c r="F35" s="21" t="s">
        <v>51</v>
      </c>
      <c r="G35" s="20" t="s">
        <v>442</v>
      </c>
      <c r="H35" s="20" t="s">
        <v>436</v>
      </c>
      <c r="I35" s="22" t="s">
        <v>82</v>
      </c>
      <c r="J35" s="22"/>
      <c r="K35" s="20" t="s">
        <v>161</v>
      </c>
      <c r="L35" s="20" t="s">
        <v>163</v>
      </c>
      <c r="M35" s="20" t="s">
        <v>225</v>
      </c>
      <c r="N35" s="22"/>
      <c r="O35" s="20" t="s">
        <v>435</v>
      </c>
      <c r="P35" s="20" t="s">
        <v>690</v>
      </c>
      <c r="Q35" s="22" t="s">
        <v>809</v>
      </c>
      <c r="R35" s="22"/>
      <c r="S35" s="19" t="s">
        <v>1302</v>
      </c>
      <c r="T35" s="20" t="str">
        <f>"392,7908"</f>
        <v>392,7908</v>
      </c>
      <c r="U35" s="21" t="s">
        <v>21</v>
      </c>
    </row>
    <row r="36" spans="1:21" ht="12.75">
      <c r="A36" s="15" t="s">
        <v>1304</v>
      </c>
      <c r="B36" s="16" t="s">
        <v>1305</v>
      </c>
      <c r="C36" s="16" t="s">
        <v>1306</v>
      </c>
      <c r="D36" s="16" t="str">
        <f>"0,5578"</f>
        <v>0,5578</v>
      </c>
      <c r="E36" s="17" t="s">
        <v>179</v>
      </c>
      <c r="F36" s="17" t="s">
        <v>21</v>
      </c>
      <c r="G36" s="18"/>
      <c r="H36" s="18"/>
      <c r="I36" s="18"/>
      <c r="J36" s="18"/>
      <c r="K36" s="18"/>
      <c r="L36" s="18"/>
      <c r="M36" s="18"/>
      <c r="N36" s="18"/>
      <c r="O36" s="18" t="s">
        <v>806</v>
      </c>
      <c r="P36" s="18" t="s">
        <v>82</v>
      </c>
      <c r="Q36" s="18" t="s">
        <v>82</v>
      </c>
      <c r="R36" s="18"/>
      <c r="S36" s="15" t="s">
        <v>68</v>
      </c>
      <c r="T36" s="16" t="str">
        <f>"0,0000"</f>
        <v>0,0000</v>
      </c>
      <c r="U36" s="17" t="s">
        <v>21</v>
      </c>
    </row>
    <row r="38" spans="1:20" ht="15.75">
      <c r="A38" s="33" t="s">
        <v>286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3"/>
      <c r="T38" s="34"/>
    </row>
    <row r="39" spans="1:21" ht="12.75">
      <c r="A39" s="11" t="s">
        <v>1307</v>
      </c>
      <c r="B39" s="12" t="s">
        <v>1308</v>
      </c>
      <c r="C39" s="12" t="s">
        <v>1309</v>
      </c>
      <c r="D39" s="12" t="str">
        <f>"0,5375"</f>
        <v>0,5375</v>
      </c>
      <c r="E39" s="13" t="s">
        <v>34</v>
      </c>
      <c r="F39" s="13" t="s">
        <v>1310</v>
      </c>
      <c r="G39" s="12" t="s">
        <v>690</v>
      </c>
      <c r="H39" s="12" t="s">
        <v>809</v>
      </c>
      <c r="I39" s="14" t="s">
        <v>868</v>
      </c>
      <c r="J39" s="14"/>
      <c r="K39" s="12" t="s">
        <v>428</v>
      </c>
      <c r="L39" s="12" t="s">
        <v>319</v>
      </c>
      <c r="M39" s="14" t="s">
        <v>560</v>
      </c>
      <c r="N39" s="14"/>
      <c r="O39" s="14" t="s">
        <v>707</v>
      </c>
      <c r="P39" s="12" t="s">
        <v>1311</v>
      </c>
      <c r="Q39" s="14" t="s">
        <v>855</v>
      </c>
      <c r="R39" s="14"/>
      <c r="S39" s="11" t="s">
        <v>983</v>
      </c>
      <c r="T39" s="12" t="str">
        <f>"438,1032"</f>
        <v>438,1032</v>
      </c>
      <c r="U39" s="13" t="s">
        <v>1312</v>
      </c>
    </row>
    <row r="40" spans="1:21" ht="12.75">
      <c r="A40" s="19" t="s">
        <v>1313</v>
      </c>
      <c r="B40" s="20" t="s">
        <v>1314</v>
      </c>
      <c r="C40" s="20" t="s">
        <v>1315</v>
      </c>
      <c r="D40" s="20" t="str">
        <f>"0,5427"</f>
        <v>0,5427</v>
      </c>
      <c r="E40" s="21" t="s">
        <v>34</v>
      </c>
      <c r="F40" s="21" t="s">
        <v>35</v>
      </c>
      <c r="G40" s="22" t="s">
        <v>319</v>
      </c>
      <c r="H40" s="20" t="s">
        <v>450</v>
      </c>
      <c r="I40" s="22" t="s">
        <v>442</v>
      </c>
      <c r="J40" s="22"/>
      <c r="K40" s="20" t="s">
        <v>154</v>
      </c>
      <c r="L40" s="20" t="s">
        <v>186</v>
      </c>
      <c r="M40" s="22" t="s">
        <v>187</v>
      </c>
      <c r="N40" s="22"/>
      <c r="O40" s="20" t="s">
        <v>450</v>
      </c>
      <c r="P40" s="20" t="s">
        <v>435</v>
      </c>
      <c r="Q40" s="22" t="s">
        <v>436</v>
      </c>
      <c r="R40" s="22"/>
      <c r="S40" s="19" t="s">
        <v>1316</v>
      </c>
      <c r="T40" s="20" t="str">
        <f>"328,3335"</f>
        <v>328,3335</v>
      </c>
      <c r="U40" s="21" t="s">
        <v>21</v>
      </c>
    </row>
    <row r="41" spans="1:21" ht="12.75">
      <c r="A41" s="15" t="s">
        <v>1317</v>
      </c>
      <c r="B41" s="16" t="s">
        <v>1318</v>
      </c>
      <c r="C41" s="16" t="s">
        <v>1319</v>
      </c>
      <c r="D41" s="16" t="str">
        <f>"0,5458"</f>
        <v>0,5458</v>
      </c>
      <c r="E41" s="17" t="s">
        <v>72</v>
      </c>
      <c r="F41" s="17" t="s">
        <v>1320</v>
      </c>
      <c r="G41" s="16" t="s">
        <v>427</v>
      </c>
      <c r="H41" s="16" t="s">
        <v>428</v>
      </c>
      <c r="I41" s="18" t="s">
        <v>319</v>
      </c>
      <c r="J41" s="18"/>
      <c r="K41" s="16" t="s">
        <v>154</v>
      </c>
      <c r="L41" s="18" t="s">
        <v>186</v>
      </c>
      <c r="M41" s="18" t="s">
        <v>186</v>
      </c>
      <c r="N41" s="18"/>
      <c r="O41" s="16" t="s">
        <v>428</v>
      </c>
      <c r="P41" s="18" t="s">
        <v>319</v>
      </c>
      <c r="Q41" s="18" t="s">
        <v>319</v>
      </c>
      <c r="R41" s="18"/>
      <c r="S41" s="15" t="s">
        <v>1321</v>
      </c>
      <c r="T41" s="16" t="str">
        <f>"294,7320"</f>
        <v>294,7320</v>
      </c>
      <c r="U41" s="17" t="s">
        <v>21</v>
      </c>
    </row>
    <row r="43" ht="15.75">
      <c r="E43" s="23" t="s">
        <v>325</v>
      </c>
    </row>
    <row r="44" ht="15.75">
      <c r="E44" s="23" t="s">
        <v>326</v>
      </c>
    </row>
    <row r="45" ht="15.75">
      <c r="E45" s="23" t="s">
        <v>327</v>
      </c>
    </row>
    <row r="46" ht="15.75">
      <c r="E46" s="23" t="s">
        <v>328</v>
      </c>
    </row>
    <row r="47" ht="15.75">
      <c r="E47" s="23" t="s">
        <v>328</v>
      </c>
    </row>
    <row r="48" ht="15.75">
      <c r="E48" s="23" t="s">
        <v>329</v>
      </c>
    </row>
    <row r="49" ht="15.75">
      <c r="E49" s="23"/>
    </row>
    <row r="51" spans="1:2" ht="18">
      <c r="A51" s="24" t="s">
        <v>330</v>
      </c>
      <c r="B51" s="25"/>
    </row>
    <row r="52" spans="1:2" ht="15.75">
      <c r="A52" s="26" t="s">
        <v>331</v>
      </c>
      <c r="B52" s="10"/>
    </row>
    <row r="53" spans="1:2" ht="13.5">
      <c r="A53" s="28"/>
      <c r="B53" s="29" t="s">
        <v>332</v>
      </c>
    </row>
    <row r="54" spans="1:5" ht="13.5">
      <c r="A54" s="30" t="s">
        <v>333</v>
      </c>
      <c r="B54" s="30" t="s">
        <v>334</v>
      </c>
      <c r="C54" s="30" t="s">
        <v>335</v>
      </c>
      <c r="D54" s="30" t="s">
        <v>336</v>
      </c>
      <c r="E54" s="30" t="s">
        <v>337</v>
      </c>
    </row>
    <row r="55" spans="1:5" ht="12.75">
      <c r="A55" s="27" t="s">
        <v>1252</v>
      </c>
      <c r="B55" s="1" t="s">
        <v>332</v>
      </c>
      <c r="C55" s="1" t="s">
        <v>344</v>
      </c>
      <c r="D55" s="1" t="s">
        <v>973</v>
      </c>
      <c r="E55" s="4" t="s">
        <v>1322</v>
      </c>
    </row>
    <row r="56" spans="1:5" ht="12.75">
      <c r="A56" s="27" t="s">
        <v>1247</v>
      </c>
      <c r="B56" s="1" t="s">
        <v>332</v>
      </c>
      <c r="C56" s="1" t="s">
        <v>338</v>
      </c>
      <c r="D56" s="1" t="s">
        <v>163</v>
      </c>
      <c r="E56" s="4" t="s">
        <v>1323</v>
      </c>
    </row>
    <row r="59" spans="1:2" ht="15.75">
      <c r="A59" s="26" t="s">
        <v>352</v>
      </c>
      <c r="B59" s="10"/>
    </row>
    <row r="60" spans="1:2" ht="13.5">
      <c r="A60" s="28"/>
      <c r="B60" s="29" t="s">
        <v>353</v>
      </c>
    </row>
    <row r="61" spans="1:5" ht="13.5">
      <c r="A61" s="30" t="s">
        <v>333</v>
      </c>
      <c r="B61" s="30" t="s">
        <v>334</v>
      </c>
      <c r="C61" s="30" t="s">
        <v>335</v>
      </c>
      <c r="D61" s="30" t="s">
        <v>336</v>
      </c>
      <c r="E61" s="30" t="s">
        <v>337</v>
      </c>
    </row>
    <row r="62" spans="1:5" ht="12.75">
      <c r="A62" s="27" t="s">
        <v>1280</v>
      </c>
      <c r="B62" s="1" t="s">
        <v>632</v>
      </c>
      <c r="C62" s="1" t="s">
        <v>368</v>
      </c>
      <c r="D62" s="1" t="s">
        <v>1324</v>
      </c>
      <c r="E62" s="4" t="s">
        <v>1325</v>
      </c>
    </row>
    <row r="63" spans="1:5" ht="12.75">
      <c r="A63" s="27" t="s">
        <v>1262</v>
      </c>
      <c r="B63" s="1" t="s">
        <v>632</v>
      </c>
      <c r="C63" s="1" t="s">
        <v>344</v>
      </c>
      <c r="D63" s="1" t="s">
        <v>1326</v>
      </c>
      <c r="E63" s="4" t="s">
        <v>1327</v>
      </c>
    </row>
    <row r="64" spans="1:5" ht="12.75">
      <c r="A64" s="27" t="s">
        <v>1297</v>
      </c>
      <c r="B64" s="1" t="s">
        <v>357</v>
      </c>
      <c r="C64" s="1" t="s">
        <v>363</v>
      </c>
      <c r="D64" s="1" t="s">
        <v>1328</v>
      </c>
      <c r="E64" s="4" t="s">
        <v>1329</v>
      </c>
    </row>
    <row r="65" spans="1:5" ht="12.75">
      <c r="A65" s="27" t="s">
        <v>1259</v>
      </c>
      <c r="B65" s="1" t="s">
        <v>354</v>
      </c>
      <c r="C65" s="1" t="s">
        <v>338</v>
      </c>
      <c r="D65" s="1" t="s">
        <v>427</v>
      </c>
      <c r="E65" s="4" t="s">
        <v>1330</v>
      </c>
    </row>
    <row r="66" spans="1:5" ht="12.75">
      <c r="A66" s="27" t="s">
        <v>1266</v>
      </c>
      <c r="B66" s="1" t="s">
        <v>354</v>
      </c>
      <c r="C66" s="1" t="s">
        <v>392</v>
      </c>
      <c r="D66" s="1" t="s">
        <v>690</v>
      </c>
      <c r="E66" s="4" t="s">
        <v>1331</v>
      </c>
    </row>
    <row r="68" spans="1:2" ht="13.5">
      <c r="A68" s="28"/>
      <c r="B68" s="29" t="s">
        <v>361</v>
      </c>
    </row>
    <row r="69" spans="1:5" ht="13.5">
      <c r="A69" s="30" t="s">
        <v>333</v>
      </c>
      <c r="B69" s="30" t="s">
        <v>334</v>
      </c>
      <c r="C69" s="30" t="s">
        <v>335</v>
      </c>
      <c r="D69" s="30" t="s">
        <v>336</v>
      </c>
      <c r="E69" s="30" t="s">
        <v>337</v>
      </c>
    </row>
    <row r="70" spans="1:5" ht="12.75">
      <c r="A70" s="27" t="s">
        <v>260</v>
      </c>
      <c r="B70" s="1" t="s">
        <v>362</v>
      </c>
      <c r="C70" s="1" t="s">
        <v>363</v>
      </c>
      <c r="D70" s="1" t="s">
        <v>1332</v>
      </c>
      <c r="E70" s="4" t="s">
        <v>1333</v>
      </c>
    </row>
    <row r="71" spans="1:5" ht="12.75">
      <c r="A71" s="27" t="s">
        <v>1270</v>
      </c>
      <c r="B71" s="1" t="s">
        <v>362</v>
      </c>
      <c r="C71" s="1" t="s">
        <v>392</v>
      </c>
      <c r="D71" s="1" t="s">
        <v>1334</v>
      </c>
      <c r="E71" s="4" t="s">
        <v>1335</v>
      </c>
    </row>
    <row r="72" spans="1:5" ht="12.75">
      <c r="A72" s="27" t="s">
        <v>1284</v>
      </c>
      <c r="B72" s="1" t="s">
        <v>362</v>
      </c>
      <c r="C72" s="1" t="s">
        <v>368</v>
      </c>
      <c r="D72" s="1" t="s">
        <v>1336</v>
      </c>
      <c r="E72" s="4" t="s">
        <v>1337</v>
      </c>
    </row>
    <row r="74" spans="1:2" ht="13.5">
      <c r="A74" s="28"/>
      <c r="B74" s="29" t="s">
        <v>332</v>
      </c>
    </row>
    <row r="75" spans="1:5" ht="13.5">
      <c r="A75" s="30" t="s">
        <v>333</v>
      </c>
      <c r="B75" s="30" t="s">
        <v>334</v>
      </c>
      <c r="C75" s="30" t="s">
        <v>335</v>
      </c>
      <c r="D75" s="30" t="s">
        <v>336</v>
      </c>
      <c r="E75" s="30" t="s">
        <v>337</v>
      </c>
    </row>
    <row r="76" spans="1:5" ht="12.75">
      <c r="A76" s="27" t="s">
        <v>1307</v>
      </c>
      <c r="B76" s="1" t="s">
        <v>332</v>
      </c>
      <c r="C76" s="1" t="s">
        <v>379</v>
      </c>
      <c r="D76" s="1" t="s">
        <v>1023</v>
      </c>
      <c r="E76" s="4" t="s">
        <v>1338</v>
      </c>
    </row>
    <row r="77" spans="1:5" ht="12.75">
      <c r="A77" s="27" t="s">
        <v>260</v>
      </c>
      <c r="B77" s="1" t="s">
        <v>332</v>
      </c>
      <c r="C77" s="1" t="s">
        <v>363</v>
      </c>
      <c r="D77" s="1" t="s">
        <v>1332</v>
      </c>
      <c r="E77" s="4" t="s">
        <v>1333</v>
      </c>
    </row>
    <row r="78" spans="1:5" ht="12.75">
      <c r="A78" s="27" t="s">
        <v>1294</v>
      </c>
      <c r="B78" s="1" t="s">
        <v>332</v>
      </c>
      <c r="C78" s="1" t="s">
        <v>370</v>
      </c>
      <c r="D78" s="1" t="s">
        <v>1339</v>
      </c>
      <c r="E78" s="4" t="s">
        <v>1340</v>
      </c>
    </row>
    <row r="79" spans="1:5" ht="12.75">
      <c r="A79" s="27" t="s">
        <v>1290</v>
      </c>
      <c r="B79" s="1" t="s">
        <v>332</v>
      </c>
      <c r="C79" s="1" t="s">
        <v>368</v>
      </c>
      <c r="D79" s="1" t="s">
        <v>1341</v>
      </c>
      <c r="E79" s="4" t="s">
        <v>1342</v>
      </c>
    </row>
    <row r="80" spans="1:5" ht="12.75">
      <c r="A80" s="27" t="s">
        <v>1313</v>
      </c>
      <c r="B80" s="1" t="s">
        <v>332</v>
      </c>
      <c r="C80" s="1" t="s">
        <v>379</v>
      </c>
      <c r="D80" s="1" t="s">
        <v>1343</v>
      </c>
      <c r="E80" s="4" t="s">
        <v>1344</v>
      </c>
    </row>
    <row r="81" spans="1:5" ht="12.75">
      <c r="A81" s="27" t="s">
        <v>1317</v>
      </c>
      <c r="B81" s="1" t="s">
        <v>332</v>
      </c>
      <c r="C81" s="1" t="s">
        <v>379</v>
      </c>
      <c r="D81" s="1" t="s">
        <v>1345</v>
      </c>
      <c r="E81" s="4" t="s">
        <v>1346</v>
      </c>
    </row>
    <row r="83" spans="1:2" ht="13.5">
      <c r="A83" s="28"/>
      <c r="B83" s="29" t="s">
        <v>347</v>
      </c>
    </row>
    <row r="84" spans="1:5" ht="13.5">
      <c r="A84" s="30" t="s">
        <v>333</v>
      </c>
      <c r="B84" s="30" t="s">
        <v>334</v>
      </c>
      <c r="C84" s="30" t="s">
        <v>335</v>
      </c>
      <c r="D84" s="30" t="s">
        <v>336</v>
      </c>
      <c r="E84" s="30" t="s">
        <v>337</v>
      </c>
    </row>
    <row r="85" spans="1:5" ht="12.75">
      <c r="A85" s="27" t="s">
        <v>1276</v>
      </c>
      <c r="B85" s="1" t="s">
        <v>399</v>
      </c>
      <c r="C85" s="1" t="s">
        <v>392</v>
      </c>
      <c r="D85" s="1" t="s">
        <v>1347</v>
      </c>
      <c r="E85" s="4" t="s">
        <v>1348</v>
      </c>
    </row>
    <row r="90" spans="1:2" ht="18">
      <c r="A90" s="24" t="s">
        <v>1349</v>
      </c>
      <c r="B90" s="25"/>
    </row>
    <row r="91" spans="1:3" ht="13.5">
      <c r="A91" s="30" t="s">
        <v>1350</v>
      </c>
      <c r="B91" s="30" t="s">
        <v>1351</v>
      </c>
      <c r="C91" s="30" t="s">
        <v>1352</v>
      </c>
    </row>
    <row r="92" spans="1:3" ht="12.75">
      <c r="A92" s="4" t="s">
        <v>34</v>
      </c>
      <c r="B92" s="1" t="s">
        <v>1353</v>
      </c>
      <c r="C92" s="1" t="s">
        <v>1354</v>
      </c>
    </row>
    <row r="93" spans="1:3" ht="12.75">
      <c r="A93" s="4" t="s">
        <v>1250</v>
      </c>
      <c r="B93" s="1" t="s">
        <v>1355</v>
      </c>
      <c r="C93" s="1" t="s">
        <v>1356</v>
      </c>
    </row>
    <row r="94" spans="1:3" ht="12.75">
      <c r="A94" s="4" t="s">
        <v>26</v>
      </c>
      <c r="B94" s="1" t="s">
        <v>1355</v>
      </c>
      <c r="C94" s="1" t="s">
        <v>1357</v>
      </c>
    </row>
    <row r="95" spans="1:3" ht="12.75">
      <c r="A95" s="4" t="s">
        <v>50</v>
      </c>
      <c r="B95" s="1" t="s">
        <v>1355</v>
      </c>
      <c r="C95" s="1" t="s">
        <v>1358</v>
      </c>
    </row>
    <row r="96" spans="1:3" ht="12.75">
      <c r="A96" s="4" t="s">
        <v>65</v>
      </c>
      <c r="B96" s="1" t="s">
        <v>1359</v>
      </c>
      <c r="C96" s="1" t="s">
        <v>1360</v>
      </c>
    </row>
    <row r="97" spans="1:3" ht="12.75">
      <c r="A97" s="4" t="s">
        <v>1287</v>
      </c>
      <c r="B97" s="1" t="s">
        <v>1359</v>
      </c>
      <c r="C97" s="1" t="s">
        <v>1361</v>
      </c>
    </row>
    <row r="98" spans="1:3" ht="12.75">
      <c r="A98" s="4" t="s">
        <v>79</v>
      </c>
      <c r="B98" s="1" t="s">
        <v>1359</v>
      </c>
      <c r="C98" s="1" t="s">
        <v>1362</v>
      </c>
    </row>
    <row r="99" spans="1:3" ht="12.75">
      <c r="A99" s="4" t="s">
        <v>713</v>
      </c>
      <c r="B99" s="1" t="s">
        <v>1359</v>
      </c>
      <c r="C99" s="1" t="s">
        <v>1363</v>
      </c>
    </row>
    <row r="100" spans="1:3" ht="12.75">
      <c r="A100" s="4" t="s">
        <v>542</v>
      </c>
      <c r="B100" s="1" t="s">
        <v>1359</v>
      </c>
      <c r="C100" s="1" t="s">
        <v>1364</v>
      </c>
    </row>
    <row r="101" spans="1:3" ht="12.75">
      <c r="A101" s="4" t="s">
        <v>523</v>
      </c>
      <c r="B101" s="1" t="s">
        <v>1359</v>
      </c>
      <c r="C101" s="1" t="s">
        <v>1365</v>
      </c>
    </row>
    <row r="102" spans="1:3" ht="12.75">
      <c r="A102" s="4" t="s">
        <v>72</v>
      </c>
      <c r="B102" s="1" t="s">
        <v>1366</v>
      </c>
      <c r="C102" s="1" t="s">
        <v>1367</v>
      </c>
    </row>
  </sheetData>
  <sheetProtection/>
  <mergeCells count="22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  <mergeCell ref="A12:T12"/>
    <mergeCell ref="A15:T15"/>
    <mergeCell ref="A18:T18"/>
    <mergeCell ref="A24:T24"/>
    <mergeCell ref="A29:T29"/>
    <mergeCell ref="A32:T32"/>
    <mergeCell ref="A38:T38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 topLeftCell="A1">
      <selection activeCell="A1" sqref="A1:M2"/>
    </sheetView>
  </sheetViews>
  <sheetFormatPr defaultColWidth="9.125" defaultRowHeight="12.75"/>
  <cols>
    <col min="1" max="1" width="34.625" style="4" bestFit="1" customWidth="1"/>
    <col min="2" max="2" width="26.875" style="1" bestFit="1" customWidth="1"/>
    <col min="3" max="3" width="16.875" style="1" bestFit="1" customWidth="1"/>
    <col min="4" max="4" width="9.25390625" style="1" bestFit="1" customWidth="1"/>
    <col min="5" max="5" width="22.75390625" style="5" bestFit="1" customWidth="1"/>
    <col min="6" max="6" width="28.00390625" style="5" bestFit="1" customWidth="1"/>
    <col min="7" max="9" width="5.625" style="1" bestFit="1" customWidth="1"/>
    <col min="10" max="10" width="4.625" style="1" bestFit="1" customWidth="1"/>
    <col min="11" max="11" width="7.875" style="4" bestFit="1" customWidth="1"/>
    <col min="12" max="12" width="8.625" style="1" bestFit="1" customWidth="1"/>
    <col min="13" max="13" width="8.875" style="5" bestFit="1" customWidth="1"/>
    <col min="14" max="16384" width="9.125" style="1" customWidth="1"/>
  </cols>
  <sheetData>
    <row r="1" spans="1:13" ht="15" customHeight="1">
      <c r="A1" s="39" t="s">
        <v>1368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66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2" customFormat="1" ht="12.75" customHeight="1">
      <c r="A3" s="45" t="s">
        <v>0</v>
      </c>
      <c r="B3" s="47" t="s">
        <v>9</v>
      </c>
      <c r="C3" s="37" t="s">
        <v>3</v>
      </c>
      <c r="D3" s="37" t="s">
        <v>11</v>
      </c>
      <c r="E3" s="37" t="s">
        <v>6</v>
      </c>
      <c r="F3" s="37" t="s">
        <v>8</v>
      </c>
      <c r="G3" s="37" t="s">
        <v>418</v>
      </c>
      <c r="H3" s="37"/>
      <c r="I3" s="37"/>
      <c r="J3" s="37"/>
      <c r="K3" s="37" t="s">
        <v>2</v>
      </c>
      <c r="L3" s="37" t="s">
        <v>5</v>
      </c>
      <c r="M3" s="48" t="s">
        <v>4</v>
      </c>
    </row>
    <row r="4" spans="1:13" s="2" customFormat="1" ht="21" customHeight="1" thickBot="1">
      <c r="A4" s="46"/>
      <c r="B4" s="38"/>
      <c r="C4" s="38"/>
      <c r="D4" s="38"/>
      <c r="E4" s="38"/>
      <c r="F4" s="38"/>
      <c r="G4" s="3">
        <v>1</v>
      </c>
      <c r="H4" s="3">
        <v>2</v>
      </c>
      <c r="I4" s="3">
        <v>3</v>
      </c>
      <c r="J4" s="3" t="s">
        <v>7</v>
      </c>
      <c r="K4" s="38"/>
      <c r="L4" s="38"/>
      <c r="M4" s="49"/>
    </row>
    <row r="5" spans="1:12" ht="15.75">
      <c r="A5" s="35" t="s">
        <v>129</v>
      </c>
      <c r="B5" s="36"/>
      <c r="C5" s="36"/>
      <c r="D5" s="36"/>
      <c r="E5" s="36"/>
      <c r="F5" s="36"/>
      <c r="G5" s="36"/>
      <c r="H5" s="36"/>
      <c r="I5" s="36"/>
      <c r="J5" s="36"/>
      <c r="K5" s="35"/>
      <c r="L5" s="36"/>
    </row>
    <row r="6" spans="1:13" ht="12.75">
      <c r="A6" s="6" t="s">
        <v>1276</v>
      </c>
      <c r="B6" s="7" t="s">
        <v>1277</v>
      </c>
      <c r="C6" s="7" t="s">
        <v>767</v>
      </c>
      <c r="D6" s="7" t="str">
        <f>"0,6770"</f>
        <v>0,6770</v>
      </c>
      <c r="E6" s="8" t="s">
        <v>523</v>
      </c>
      <c r="F6" s="8" t="s">
        <v>524</v>
      </c>
      <c r="G6" s="7" t="s">
        <v>154</v>
      </c>
      <c r="H6" s="9" t="s">
        <v>175</v>
      </c>
      <c r="I6" s="7" t="s">
        <v>161</v>
      </c>
      <c r="J6" s="9"/>
      <c r="K6" s="6" t="s">
        <v>309</v>
      </c>
      <c r="L6" s="7" t="str">
        <f>"183,0066"</f>
        <v>183,0066</v>
      </c>
      <c r="M6" s="8" t="s">
        <v>21</v>
      </c>
    </row>
    <row r="8" spans="1:12" ht="15.75">
      <c r="A8" s="33" t="s">
        <v>150</v>
      </c>
      <c r="B8" s="34"/>
      <c r="C8" s="34"/>
      <c r="D8" s="34"/>
      <c r="E8" s="34"/>
      <c r="F8" s="34"/>
      <c r="G8" s="34"/>
      <c r="H8" s="34"/>
      <c r="I8" s="34"/>
      <c r="J8" s="34"/>
      <c r="K8" s="33"/>
      <c r="L8" s="34"/>
    </row>
    <row r="9" spans="1:13" ht="12.75">
      <c r="A9" s="6" t="s">
        <v>1290</v>
      </c>
      <c r="B9" s="7" t="s">
        <v>1291</v>
      </c>
      <c r="C9" s="7" t="s">
        <v>1292</v>
      </c>
      <c r="D9" s="7" t="str">
        <f>"0,6298"</f>
        <v>0,6298</v>
      </c>
      <c r="E9" s="8" t="s">
        <v>1250</v>
      </c>
      <c r="F9" s="8" t="s">
        <v>1251</v>
      </c>
      <c r="G9" s="7" t="s">
        <v>290</v>
      </c>
      <c r="H9" s="7" t="s">
        <v>807</v>
      </c>
      <c r="I9" s="7" t="s">
        <v>560</v>
      </c>
      <c r="J9" s="9"/>
      <c r="K9" s="6" t="s">
        <v>946</v>
      </c>
      <c r="L9" s="7" t="str">
        <f>"135,4070"</f>
        <v>135,4070</v>
      </c>
      <c r="M9" s="8" t="s">
        <v>21</v>
      </c>
    </row>
    <row r="11" ht="15.75">
      <c r="E11" s="23" t="s">
        <v>325</v>
      </c>
    </row>
    <row r="12" ht="15.75">
      <c r="E12" s="23" t="s">
        <v>326</v>
      </c>
    </row>
    <row r="13" ht="15.75">
      <c r="E13" s="23" t="s">
        <v>327</v>
      </c>
    </row>
    <row r="14" ht="15.75">
      <c r="E14" s="23" t="s">
        <v>328</v>
      </c>
    </row>
    <row r="15" ht="15.75">
      <c r="E15" s="23" t="s">
        <v>328</v>
      </c>
    </row>
    <row r="16" ht="15.75">
      <c r="E16" s="23" t="s">
        <v>329</v>
      </c>
    </row>
    <row r="17" ht="15.75">
      <c r="E17" s="23"/>
    </row>
    <row r="19" spans="1:2" ht="18">
      <c r="A19" s="24" t="s">
        <v>330</v>
      </c>
      <c r="B19" s="25"/>
    </row>
    <row r="20" spans="1:2" ht="15.75">
      <c r="A20" s="26" t="s">
        <v>352</v>
      </c>
      <c r="B20" s="10"/>
    </row>
    <row r="21" spans="1:2" ht="13.5">
      <c r="A21" s="28"/>
      <c r="B21" s="29" t="s">
        <v>332</v>
      </c>
    </row>
    <row r="22" spans="1:5" ht="13.5">
      <c r="A22" s="30" t="s">
        <v>333</v>
      </c>
      <c r="B22" s="30" t="s">
        <v>334</v>
      </c>
      <c r="C22" s="30" t="s">
        <v>335</v>
      </c>
      <c r="D22" s="30" t="s">
        <v>336</v>
      </c>
      <c r="E22" s="30" t="s">
        <v>337</v>
      </c>
    </row>
    <row r="23" spans="1:5" ht="12.75">
      <c r="A23" s="27" t="s">
        <v>1290</v>
      </c>
      <c r="B23" s="1" t="s">
        <v>332</v>
      </c>
      <c r="C23" s="1" t="s">
        <v>368</v>
      </c>
      <c r="D23" s="1" t="s">
        <v>560</v>
      </c>
      <c r="E23" s="4" t="s">
        <v>1369</v>
      </c>
    </row>
    <row r="25" spans="1:2" ht="13.5">
      <c r="A25" s="28"/>
      <c r="B25" s="29" t="s">
        <v>347</v>
      </c>
    </row>
    <row r="26" spans="1:5" ht="13.5">
      <c r="A26" s="30" t="s">
        <v>333</v>
      </c>
      <c r="B26" s="30" t="s">
        <v>334</v>
      </c>
      <c r="C26" s="30" t="s">
        <v>335</v>
      </c>
      <c r="D26" s="30" t="s">
        <v>336</v>
      </c>
      <c r="E26" s="30" t="s">
        <v>337</v>
      </c>
    </row>
    <row r="27" spans="1:5" ht="12.75">
      <c r="A27" s="27" t="s">
        <v>1276</v>
      </c>
      <c r="B27" s="1" t="s">
        <v>399</v>
      </c>
      <c r="C27" s="1" t="s">
        <v>392</v>
      </c>
      <c r="D27" s="1" t="s">
        <v>161</v>
      </c>
      <c r="E27" s="4" t="s">
        <v>1370</v>
      </c>
    </row>
    <row r="32" spans="1:2" ht="18">
      <c r="A32" s="24" t="s">
        <v>1349</v>
      </c>
      <c r="B32" s="25"/>
    </row>
    <row r="33" spans="1:3" ht="13.5">
      <c r="A33" s="30" t="s">
        <v>1350</v>
      </c>
      <c r="B33" s="30" t="s">
        <v>1351</v>
      </c>
      <c r="C33" s="30" t="s">
        <v>1352</v>
      </c>
    </row>
    <row r="34" spans="1:3" ht="12.75">
      <c r="A34" s="4" t="s">
        <v>1250</v>
      </c>
      <c r="B34" s="1" t="s">
        <v>1359</v>
      </c>
      <c r="C34" s="1" t="s">
        <v>1371</v>
      </c>
    </row>
    <row r="35" spans="1:3" ht="12.75">
      <c r="A35" s="4" t="s">
        <v>523</v>
      </c>
      <c r="B35" s="1" t="s">
        <v>1359</v>
      </c>
      <c r="C35" s="1" t="s">
        <v>1365</v>
      </c>
    </row>
  </sheetData>
  <sheetProtection/>
  <mergeCells count="13"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workbookViewId="0" topLeftCell="A1">
      <selection activeCell="A1" sqref="A1:M2"/>
    </sheetView>
  </sheetViews>
  <sheetFormatPr defaultColWidth="9.125" defaultRowHeight="12.75"/>
  <cols>
    <col min="1" max="1" width="34.625" style="4" bestFit="1" customWidth="1"/>
    <col min="2" max="2" width="26.875" style="1" bestFit="1" customWidth="1"/>
    <col min="3" max="3" width="69.375" style="1" bestFit="1" customWidth="1"/>
    <col min="4" max="4" width="9.25390625" style="1" bestFit="1" customWidth="1"/>
    <col min="5" max="5" width="22.75390625" style="5" bestFit="1" customWidth="1"/>
    <col min="6" max="6" width="39.625" style="5" bestFit="1" customWidth="1"/>
    <col min="7" max="9" width="5.625" style="1" bestFit="1" customWidth="1"/>
    <col min="10" max="10" width="4.625" style="1" bestFit="1" customWidth="1"/>
    <col min="11" max="11" width="7.875" style="4" bestFit="1" customWidth="1"/>
    <col min="12" max="12" width="8.625" style="1" bestFit="1" customWidth="1"/>
    <col min="13" max="13" width="24.625" style="5" bestFit="1" customWidth="1"/>
    <col min="14" max="16384" width="9.125" style="1" customWidth="1"/>
  </cols>
  <sheetData>
    <row r="1" spans="1:13" ht="15" customHeight="1">
      <c r="A1" s="39" t="s">
        <v>1372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66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2" customFormat="1" ht="12.75" customHeight="1">
      <c r="A3" s="45" t="s">
        <v>0</v>
      </c>
      <c r="B3" s="47" t="s">
        <v>9</v>
      </c>
      <c r="C3" s="37" t="s">
        <v>3</v>
      </c>
      <c r="D3" s="37" t="s">
        <v>11</v>
      </c>
      <c r="E3" s="37" t="s">
        <v>6</v>
      </c>
      <c r="F3" s="37" t="s">
        <v>8</v>
      </c>
      <c r="G3" s="37" t="s">
        <v>419</v>
      </c>
      <c r="H3" s="37"/>
      <c r="I3" s="37"/>
      <c r="J3" s="37"/>
      <c r="K3" s="37" t="s">
        <v>2</v>
      </c>
      <c r="L3" s="37" t="s">
        <v>5</v>
      </c>
      <c r="M3" s="48" t="s">
        <v>4</v>
      </c>
    </row>
    <row r="4" spans="1:13" s="2" customFormat="1" ht="21" customHeight="1" thickBot="1">
      <c r="A4" s="46"/>
      <c r="B4" s="38"/>
      <c r="C4" s="38"/>
      <c r="D4" s="38"/>
      <c r="E4" s="38"/>
      <c r="F4" s="38"/>
      <c r="G4" s="3">
        <v>1</v>
      </c>
      <c r="H4" s="3">
        <v>2</v>
      </c>
      <c r="I4" s="3">
        <v>3</v>
      </c>
      <c r="J4" s="3" t="s">
        <v>7</v>
      </c>
      <c r="K4" s="38"/>
      <c r="L4" s="38"/>
      <c r="M4" s="49"/>
    </row>
    <row r="5" spans="1:12" ht="15.75">
      <c r="A5" s="35" t="s">
        <v>56</v>
      </c>
      <c r="B5" s="36"/>
      <c r="C5" s="36"/>
      <c r="D5" s="36"/>
      <c r="E5" s="36"/>
      <c r="F5" s="36"/>
      <c r="G5" s="36"/>
      <c r="H5" s="36"/>
      <c r="I5" s="36"/>
      <c r="J5" s="36"/>
      <c r="K5" s="35"/>
      <c r="L5" s="36"/>
    </row>
    <row r="6" spans="1:13" ht="12.75">
      <c r="A6" s="6" t="s">
        <v>94</v>
      </c>
      <c r="B6" s="7" t="s">
        <v>95</v>
      </c>
      <c r="C6" s="7" t="s">
        <v>96</v>
      </c>
      <c r="D6" s="7" t="str">
        <f>"0,8213"</f>
        <v>0,8213</v>
      </c>
      <c r="E6" s="8" t="s">
        <v>97</v>
      </c>
      <c r="F6" s="8" t="s">
        <v>98</v>
      </c>
      <c r="G6" s="7" t="s">
        <v>192</v>
      </c>
      <c r="H6" s="7" t="s">
        <v>186</v>
      </c>
      <c r="I6" s="7" t="s">
        <v>313</v>
      </c>
      <c r="J6" s="9"/>
      <c r="K6" s="6" t="s">
        <v>1373</v>
      </c>
      <c r="L6" s="7" t="str">
        <f>"151,4251"</f>
        <v>151,4251</v>
      </c>
      <c r="M6" s="8" t="s">
        <v>21</v>
      </c>
    </row>
    <row r="8" spans="1:12" ht="15.75">
      <c r="A8" s="33" t="s">
        <v>129</v>
      </c>
      <c r="B8" s="34"/>
      <c r="C8" s="34"/>
      <c r="D8" s="34"/>
      <c r="E8" s="34"/>
      <c r="F8" s="34"/>
      <c r="G8" s="34"/>
      <c r="H8" s="34"/>
      <c r="I8" s="34"/>
      <c r="J8" s="34"/>
      <c r="K8" s="33"/>
      <c r="L8" s="34"/>
    </row>
    <row r="9" spans="1:13" ht="12.75">
      <c r="A9" s="11" t="s">
        <v>1274</v>
      </c>
      <c r="B9" s="12" t="s">
        <v>1275</v>
      </c>
      <c r="C9" s="12" t="s">
        <v>944</v>
      </c>
      <c r="D9" s="12" t="str">
        <f>"0,6645"</f>
        <v>0,6645</v>
      </c>
      <c r="E9" s="13" t="s">
        <v>34</v>
      </c>
      <c r="F9" s="13" t="s">
        <v>35</v>
      </c>
      <c r="G9" s="12" t="s">
        <v>163</v>
      </c>
      <c r="H9" s="12" t="s">
        <v>1374</v>
      </c>
      <c r="I9" s="14" t="s">
        <v>82</v>
      </c>
      <c r="J9" s="14"/>
      <c r="K9" s="11" t="s">
        <v>1375</v>
      </c>
      <c r="L9" s="12" t="str">
        <f>"142,5352"</f>
        <v>142,5352</v>
      </c>
      <c r="M9" s="13" t="s">
        <v>21</v>
      </c>
    </row>
    <row r="10" spans="1:13" ht="12.75">
      <c r="A10" s="15" t="s">
        <v>1276</v>
      </c>
      <c r="B10" s="16" t="s">
        <v>1277</v>
      </c>
      <c r="C10" s="16" t="s">
        <v>767</v>
      </c>
      <c r="D10" s="16" t="str">
        <f>"0,6770"</f>
        <v>0,6770</v>
      </c>
      <c r="E10" s="17" t="s">
        <v>523</v>
      </c>
      <c r="F10" s="17" t="s">
        <v>524</v>
      </c>
      <c r="G10" s="16" t="s">
        <v>163</v>
      </c>
      <c r="H10" s="16" t="s">
        <v>319</v>
      </c>
      <c r="I10" s="18" t="s">
        <v>1278</v>
      </c>
      <c r="J10" s="18"/>
      <c r="K10" s="15" t="s">
        <v>320</v>
      </c>
      <c r="L10" s="16" t="str">
        <f>"226,0670"</f>
        <v>226,0670</v>
      </c>
      <c r="M10" s="17" t="s">
        <v>21</v>
      </c>
    </row>
    <row r="12" spans="1:12" ht="15.75">
      <c r="A12" s="33" t="s">
        <v>150</v>
      </c>
      <c r="B12" s="34"/>
      <c r="C12" s="34"/>
      <c r="D12" s="34"/>
      <c r="E12" s="34"/>
      <c r="F12" s="34"/>
      <c r="G12" s="34"/>
      <c r="H12" s="34"/>
      <c r="I12" s="34"/>
      <c r="J12" s="34"/>
      <c r="K12" s="33"/>
      <c r="L12" s="34"/>
    </row>
    <row r="13" spans="1:13" ht="12.75">
      <c r="A13" s="6" t="s">
        <v>1376</v>
      </c>
      <c r="B13" s="7" t="s">
        <v>1377</v>
      </c>
      <c r="C13" s="7" t="s">
        <v>178</v>
      </c>
      <c r="D13" s="7" t="str">
        <f>"0,6251"</f>
        <v>0,6251</v>
      </c>
      <c r="E13" s="8" t="s">
        <v>133</v>
      </c>
      <c r="F13" s="8" t="s">
        <v>275</v>
      </c>
      <c r="G13" s="7" t="s">
        <v>560</v>
      </c>
      <c r="H13" s="9" t="s">
        <v>442</v>
      </c>
      <c r="I13" s="7" t="s">
        <v>442</v>
      </c>
      <c r="J13" s="9"/>
      <c r="K13" s="6" t="s">
        <v>598</v>
      </c>
      <c r="L13" s="7" t="str">
        <f>"143,7730"</f>
        <v>143,7730</v>
      </c>
      <c r="M13" s="8" t="s">
        <v>21</v>
      </c>
    </row>
    <row r="15" spans="1:12" ht="15.75">
      <c r="A15" s="33" t="s">
        <v>259</v>
      </c>
      <c r="B15" s="34"/>
      <c r="C15" s="34"/>
      <c r="D15" s="34"/>
      <c r="E15" s="34"/>
      <c r="F15" s="34"/>
      <c r="G15" s="34"/>
      <c r="H15" s="34"/>
      <c r="I15" s="34"/>
      <c r="J15" s="34"/>
      <c r="K15" s="33"/>
      <c r="L15" s="34"/>
    </row>
    <row r="16" spans="1:13" ht="12.75">
      <c r="A16" s="11" t="s">
        <v>1297</v>
      </c>
      <c r="B16" s="12" t="s">
        <v>1298</v>
      </c>
      <c r="C16" s="12" t="s">
        <v>1299</v>
      </c>
      <c r="D16" s="12" t="str">
        <f>"0,5651"</f>
        <v>0,5651</v>
      </c>
      <c r="E16" s="13" t="s">
        <v>26</v>
      </c>
      <c r="F16" s="13" t="s">
        <v>90</v>
      </c>
      <c r="G16" s="12" t="s">
        <v>450</v>
      </c>
      <c r="H16" s="14" t="s">
        <v>443</v>
      </c>
      <c r="I16" s="12" t="s">
        <v>443</v>
      </c>
      <c r="J16" s="14"/>
      <c r="K16" s="11" t="s">
        <v>444</v>
      </c>
      <c r="L16" s="12" t="str">
        <f>"144,9482"</f>
        <v>144,9482</v>
      </c>
      <c r="M16" s="13" t="s">
        <v>21</v>
      </c>
    </row>
    <row r="17" spans="1:13" ht="12.75">
      <c r="A17" s="19" t="s">
        <v>1378</v>
      </c>
      <c r="B17" s="20" t="s">
        <v>1379</v>
      </c>
      <c r="C17" s="20" t="s">
        <v>1306</v>
      </c>
      <c r="D17" s="20" t="str">
        <f>"0,5578"</f>
        <v>0,5578</v>
      </c>
      <c r="E17" s="21" t="s">
        <v>1380</v>
      </c>
      <c r="F17" s="21" t="s">
        <v>1380</v>
      </c>
      <c r="G17" s="20" t="s">
        <v>690</v>
      </c>
      <c r="H17" s="22" t="s">
        <v>705</v>
      </c>
      <c r="I17" s="20" t="s">
        <v>705</v>
      </c>
      <c r="J17" s="22"/>
      <c r="K17" s="19" t="s">
        <v>708</v>
      </c>
      <c r="L17" s="20" t="str">
        <f>"170,1290"</f>
        <v>170,1290</v>
      </c>
      <c r="M17" s="21" t="s">
        <v>21</v>
      </c>
    </row>
    <row r="18" spans="1:13" ht="12.75">
      <c r="A18" s="19" t="s">
        <v>1381</v>
      </c>
      <c r="B18" s="20" t="s">
        <v>1382</v>
      </c>
      <c r="C18" s="20" t="s">
        <v>1383</v>
      </c>
      <c r="D18" s="20" t="str">
        <f>"0,5717"</f>
        <v>0,5717</v>
      </c>
      <c r="E18" s="21" t="s">
        <v>26</v>
      </c>
      <c r="F18" s="21" t="s">
        <v>90</v>
      </c>
      <c r="G18" s="20" t="s">
        <v>318</v>
      </c>
      <c r="H18" s="20" t="s">
        <v>450</v>
      </c>
      <c r="I18" s="22" t="s">
        <v>451</v>
      </c>
      <c r="J18" s="22"/>
      <c r="K18" s="19" t="s">
        <v>463</v>
      </c>
      <c r="L18" s="20" t="str">
        <f>"125,7740"</f>
        <v>125,7740</v>
      </c>
      <c r="M18" s="21" t="s">
        <v>21</v>
      </c>
    </row>
    <row r="19" spans="1:13" ht="12.75">
      <c r="A19" s="15" t="s">
        <v>1384</v>
      </c>
      <c r="B19" s="16" t="s">
        <v>1385</v>
      </c>
      <c r="C19" s="16" t="s">
        <v>1386</v>
      </c>
      <c r="D19" s="16" t="str">
        <f>"0,5556"</f>
        <v>0,5556</v>
      </c>
      <c r="E19" s="17" t="s">
        <v>34</v>
      </c>
      <c r="F19" s="17" t="s">
        <v>35</v>
      </c>
      <c r="G19" s="18" t="s">
        <v>427</v>
      </c>
      <c r="H19" s="16" t="s">
        <v>427</v>
      </c>
      <c r="I19" s="18" t="s">
        <v>318</v>
      </c>
      <c r="J19" s="18"/>
      <c r="K19" s="15" t="s">
        <v>594</v>
      </c>
      <c r="L19" s="16" t="str">
        <f>"105,5735"</f>
        <v>105,5735</v>
      </c>
      <c r="M19" s="17" t="s">
        <v>21</v>
      </c>
    </row>
    <row r="21" spans="1:12" ht="15.75">
      <c r="A21" s="33" t="s">
        <v>286</v>
      </c>
      <c r="B21" s="34"/>
      <c r="C21" s="34"/>
      <c r="D21" s="34"/>
      <c r="E21" s="34"/>
      <c r="F21" s="34"/>
      <c r="G21" s="34"/>
      <c r="H21" s="34"/>
      <c r="I21" s="34"/>
      <c r="J21" s="34"/>
      <c r="K21" s="33"/>
      <c r="L21" s="34"/>
    </row>
    <row r="22" spans="1:13" ht="12.75">
      <c r="A22" s="11" t="s">
        <v>1307</v>
      </c>
      <c r="B22" s="12" t="s">
        <v>1308</v>
      </c>
      <c r="C22" s="12" t="s">
        <v>1309</v>
      </c>
      <c r="D22" s="12" t="str">
        <f>"0,5375"</f>
        <v>0,5375</v>
      </c>
      <c r="E22" s="13" t="s">
        <v>34</v>
      </c>
      <c r="F22" s="13" t="s">
        <v>1310</v>
      </c>
      <c r="G22" s="14" t="s">
        <v>707</v>
      </c>
      <c r="H22" s="12" t="s">
        <v>1311</v>
      </c>
      <c r="I22" s="14" t="s">
        <v>855</v>
      </c>
      <c r="J22" s="14"/>
      <c r="K22" s="11" t="s">
        <v>1387</v>
      </c>
      <c r="L22" s="12" t="str">
        <f>"174,7037"</f>
        <v>174,7037</v>
      </c>
      <c r="M22" s="13" t="s">
        <v>1312</v>
      </c>
    </row>
    <row r="23" spans="1:13" ht="12.75">
      <c r="A23" s="15" t="s">
        <v>1388</v>
      </c>
      <c r="B23" s="16" t="s">
        <v>1389</v>
      </c>
      <c r="C23" s="16" t="s">
        <v>1390</v>
      </c>
      <c r="D23" s="16" t="str">
        <f>"0,5378"</f>
        <v>0,5378</v>
      </c>
      <c r="E23" s="17" t="s">
        <v>34</v>
      </c>
      <c r="F23" s="17" t="s">
        <v>35</v>
      </c>
      <c r="G23" s="16" t="s">
        <v>319</v>
      </c>
      <c r="H23" s="16" t="s">
        <v>686</v>
      </c>
      <c r="I23" s="16" t="s">
        <v>848</v>
      </c>
      <c r="J23" s="18"/>
      <c r="K23" s="15" t="s">
        <v>1391</v>
      </c>
      <c r="L23" s="16" t="str">
        <f>"130,4044"</f>
        <v>130,4044</v>
      </c>
      <c r="M23" s="17" t="s">
        <v>21</v>
      </c>
    </row>
    <row r="25" ht="15.75">
      <c r="E25" s="23" t="s">
        <v>325</v>
      </c>
    </row>
    <row r="26" ht="15.75">
      <c r="E26" s="23" t="s">
        <v>326</v>
      </c>
    </row>
    <row r="27" ht="15.75">
      <c r="E27" s="23" t="s">
        <v>327</v>
      </c>
    </row>
    <row r="28" ht="15.75">
      <c r="E28" s="23" t="s">
        <v>328</v>
      </c>
    </row>
    <row r="29" ht="15.75">
      <c r="E29" s="23" t="s">
        <v>328</v>
      </c>
    </row>
    <row r="30" ht="15.75">
      <c r="E30" s="23" t="s">
        <v>329</v>
      </c>
    </row>
    <row r="31" ht="15.75">
      <c r="E31" s="23"/>
    </row>
    <row r="33" spans="1:2" ht="18">
      <c r="A33" s="24" t="s">
        <v>330</v>
      </c>
      <c r="B33" s="25"/>
    </row>
    <row r="34" spans="1:2" ht="15.75">
      <c r="A34" s="26" t="s">
        <v>352</v>
      </c>
      <c r="B34" s="10"/>
    </row>
    <row r="35" spans="1:2" ht="13.5">
      <c r="A35" s="28"/>
      <c r="B35" s="29" t="s">
        <v>353</v>
      </c>
    </row>
    <row r="36" spans="1:5" ht="13.5">
      <c r="A36" s="30" t="s">
        <v>333</v>
      </c>
      <c r="B36" s="30" t="s">
        <v>334</v>
      </c>
      <c r="C36" s="30" t="s">
        <v>335</v>
      </c>
      <c r="D36" s="30" t="s">
        <v>336</v>
      </c>
      <c r="E36" s="30" t="s">
        <v>337</v>
      </c>
    </row>
    <row r="37" spans="1:5" ht="12.75">
      <c r="A37" s="27" t="s">
        <v>1297</v>
      </c>
      <c r="B37" s="1" t="s">
        <v>357</v>
      </c>
      <c r="C37" s="1" t="s">
        <v>363</v>
      </c>
      <c r="D37" s="1" t="s">
        <v>443</v>
      </c>
      <c r="E37" s="4" t="s">
        <v>1392</v>
      </c>
    </row>
    <row r="39" spans="1:2" ht="13.5">
      <c r="A39" s="28"/>
      <c r="B39" s="29" t="s">
        <v>332</v>
      </c>
    </row>
    <row r="40" spans="1:5" ht="13.5">
      <c r="A40" s="30" t="s">
        <v>333</v>
      </c>
      <c r="B40" s="30" t="s">
        <v>334</v>
      </c>
      <c r="C40" s="30" t="s">
        <v>335</v>
      </c>
      <c r="D40" s="30" t="s">
        <v>336</v>
      </c>
      <c r="E40" s="30" t="s">
        <v>337</v>
      </c>
    </row>
    <row r="41" spans="1:5" ht="12.75">
      <c r="A41" s="27" t="s">
        <v>1307</v>
      </c>
      <c r="B41" s="1" t="s">
        <v>332</v>
      </c>
      <c r="C41" s="1" t="s">
        <v>379</v>
      </c>
      <c r="D41" s="1" t="s">
        <v>1311</v>
      </c>
      <c r="E41" s="4" t="s">
        <v>1393</v>
      </c>
    </row>
    <row r="42" spans="1:5" ht="12.75">
      <c r="A42" s="27" t="s">
        <v>1378</v>
      </c>
      <c r="B42" s="1" t="s">
        <v>332</v>
      </c>
      <c r="C42" s="1" t="s">
        <v>363</v>
      </c>
      <c r="D42" s="1" t="s">
        <v>705</v>
      </c>
      <c r="E42" s="4" t="s">
        <v>1394</v>
      </c>
    </row>
    <row r="43" spans="1:5" ht="12.75">
      <c r="A43" s="27" t="s">
        <v>1376</v>
      </c>
      <c r="B43" s="1" t="s">
        <v>332</v>
      </c>
      <c r="C43" s="1" t="s">
        <v>368</v>
      </c>
      <c r="D43" s="1" t="s">
        <v>442</v>
      </c>
      <c r="E43" s="4" t="s">
        <v>1395</v>
      </c>
    </row>
    <row r="44" spans="1:5" ht="12.75">
      <c r="A44" s="27" t="s">
        <v>1388</v>
      </c>
      <c r="B44" s="1" t="s">
        <v>332</v>
      </c>
      <c r="C44" s="1" t="s">
        <v>379</v>
      </c>
      <c r="D44" s="1" t="s">
        <v>848</v>
      </c>
      <c r="E44" s="4" t="s">
        <v>1396</v>
      </c>
    </row>
    <row r="45" spans="1:5" ht="12.75">
      <c r="A45" s="27" t="s">
        <v>1381</v>
      </c>
      <c r="B45" s="1" t="s">
        <v>332</v>
      </c>
      <c r="C45" s="1" t="s">
        <v>363</v>
      </c>
      <c r="D45" s="1" t="s">
        <v>450</v>
      </c>
      <c r="E45" s="4" t="s">
        <v>1397</v>
      </c>
    </row>
    <row r="46" spans="1:5" ht="12.75">
      <c r="A46" s="27" t="s">
        <v>1384</v>
      </c>
      <c r="B46" s="1" t="s">
        <v>332</v>
      </c>
      <c r="C46" s="1" t="s">
        <v>363</v>
      </c>
      <c r="D46" s="1" t="s">
        <v>427</v>
      </c>
      <c r="E46" s="4" t="s">
        <v>1398</v>
      </c>
    </row>
    <row r="48" spans="1:2" ht="13.5">
      <c r="A48" s="28"/>
      <c r="B48" s="29" t="s">
        <v>347</v>
      </c>
    </row>
    <row r="49" spans="1:5" ht="13.5">
      <c r="A49" s="30" t="s">
        <v>333</v>
      </c>
      <c r="B49" s="30" t="s">
        <v>334</v>
      </c>
      <c r="C49" s="30" t="s">
        <v>335</v>
      </c>
      <c r="D49" s="30" t="s">
        <v>336</v>
      </c>
      <c r="E49" s="30" t="s">
        <v>337</v>
      </c>
    </row>
    <row r="50" spans="1:5" ht="12.75">
      <c r="A50" s="27" t="s">
        <v>1276</v>
      </c>
      <c r="B50" s="1" t="s">
        <v>399</v>
      </c>
      <c r="C50" s="1" t="s">
        <v>392</v>
      </c>
      <c r="D50" s="1" t="s">
        <v>319</v>
      </c>
      <c r="E50" s="4" t="s">
        <v>1399</v>
      </c>
    </row>
    <row r="51" spans="1:5" ht="12.75">
      <c r="A51" s="27" t="s">
        <v>94</v>
      </c>
      <c r="B51" s="1" t="s">
        <v>350</v>
      </c>
      <c r="C51" s="1" t="s">
        <v>340</v>
      </c>
      <c r="D51" s="1" t="s">
        <v>313</v>
      </c>
      <c r="E51" s="4" t="s">
        <v>1400</v>
      </c>
    </row>
    <row r="52" spans="1:5" ht="12.75">
      <c r="A52" s="27" t="s">
        <v>1274</v>
      </c>
      <c r="B52" s="1" t="s">
        <v>401</v>
      </c>
      <c r="C52" s="1" t="s">
        <v>392</v>
      </c>
      <c r="D52" s="1" t="s">
        <v>1374</v>
      </c>
      <c r="E52" s="4" t="s">
        <v>1401</v>
      </c>
    </row>
    <row r="57" spans="1:2" ht="18">
      <c r="A57" s="24" t="s">
        <v>1349</v>
      </c>
      <c r="B57" s="25"/>
    </row>
    <row r="58" spans="1:3" ht="13.5">
      <c r="A58" s="30" t="s">
        <v>1350</v>
      </c>
      <c r="B58" s="30" t="s">
        <v>1351</v>
      </c>
      <c r="C58" s="30" t="s">
        <v>1352</v>
      </c>
    </row>
    <row r="59" spans="1:3" ht="12.75">
      <c r="A59" s="4" t="s">
        <v>34</v>
      </c>
      <c r="B59" s="1" t="s">
        <v>1402</v>
      </c>
      <c r="C59" s="1" t="s">
        <v>1403</v>
      </c>
    </row>
    <row r="60" spans="1:3" ht="12.75">
      <c r="A60" s="4" t="s">
        <v>26</v>
      </c>
      <c r="B60" s="1" t="s">
        <v>1404</v>
      </c>
      <c r="C60" s="1" t="s">
        <v>1405</v>
      </c>
    </row>
    <row r="61" spans="1:3" ht="12.75">
      <c r="A61" s="4" t="s">
        <v>97</v>
      </c>
      <c r="B61" s="1" t="s">
        <v>1359</v>
      </c>
      <c r="C61" s="1" t="s">
        <v>1406</v>
      </c>
    </row>
    <row r="62" spans="1:3" ht="12.75">
      <c r="A62" s="4" t="s">
        <v>133</v>
      </c>
      <c r="B62" s="1" t="s">
        <v>1359</v>
      </c>
      <c r="C62" s="1" t="s">
        <v>1407</v>
      </c>
    </row>
    <row r="63" spans="1:3" ht="12.75">
      <c r="A63" s="4" t="s">
        <v>1380</v>
      </c>
      <c r="B63" s="1" t="s">
        <v>1359</v>
      </c>
      <c r="C63" s="1" t="s">
        <v>1408</v>
      </c>
    </row>
    <row r="64" spans="1:3" ht="12.75">
      <c r="A64" s="4" t="s">
        <v>523</v>
      </c>
      <c r="B64" s="1" t="s">
        <v>1359</v>
      </c>
      <c r="C64" s="1" t="s">
        <v>1365</v>
      </c>
    </row>
  </sheetData>
  <sheetProtection/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2:L12"/>
    <mergeCell ref="A15:L15"/>
    <mergeCell ref="A21:L21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workbookViewId="0" topLeftCell="A1">
      <selection activeCell="A1" sqref="A1:U2"/>
    </sheetView>
  </sheetViews>
  <sheetFormatPr defaultColWidth="9.125" defaultRowHeight="12.75"/>
  <cols>
    <col min="1" max="1" width="34.625" style="4" bestFit="1" customWidth="1"/>
    <col min="2" max="2" width="26.875" style="1" bestFit="1" customWidth="1"/>
    <col min="3" max="3" width="17.75390625" style="1" bestFit="1" customWidth="1"/>
    <col min="4" max="4" width="9.25390625" style="1" bestFit="1" customWidth="1"/>
    <col min="5" max="5" width="22.75390625" style="5" bestFit="1" customWidth="1"/>
    <col min="6" max="6" width="32.625" style="5" bestFit="1" customWidth="1"/>
    <col min="7" max="9" width="5.625" style="1" bestFit="1" customWidth="1"/>
    <col min="10" max="10" width="4.625" style="1" bestFit="1" customWidth="1"/>
    <col min="11" max="13" width="5.625" style="1" bestFit="1" customWidth="1"/>
    <col min="14" max="14" width="4.625" style="1" bestFit="1" customWidth="1"/>
    <col min="15" max="18" width="5.625" style="1" bestFit="1" customWidth="1"/>
    <col min="19" max="19" width="7.875" style="4" bestFit="1" customWidth="1"/>
    <col min="20" max="20" width="8.625" style="1" bestFit="1" customWidth="1"/>
    <col min="21" max="21" width="8.875" style="5" bestFit="1" customWidth="1"/>
    <col min="22" max="16384" width="9.125" style="1" customWidth="1"/>
  </cols>
  <sheetData>
    <row r="1" spans="1:21" ht="15" customHeight="1">
      <c r="A1" s="39" t="s">
        <v>1409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ht="66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2" customFormat="1" ht="12.75" customHeight="1">
      <c r="A3" s="45" t="s">
        <v>0</v>
      </c>
      <c r="B3" s="47" t="s">
        <v>9</v>
      </c>
      <c r="C3" s="37" t="s">
        <v>3</v>
      </c>
      <c r="D3" s="37" t="s">
        <v>11</v>
      </c>
      <c r="E3" s="37" t="s">
        <v>6</v>
      </c>
      <c r="F3" s="37" t="s">
        <v>8</v>
      </c>
      <c r="G3" s="37" t="s">
        <v>418</v>
      </c>
      <c r="H3" s="37"/>
      <c r="I3" s="37"/>
      <c r="J3" s="37"/>
      <c r="K3" s="37" t="s">
        <v>1</v>
      </c>
      <c r="L3" s="37"/>
      <c r="M3" s="37"/>
      <c r="N3" s="37"/>
      <c r="O3" s="37" t="s">
        <v>419</v>
      </c>
      <c r="P3" s="37"/>
      <c r="Q3" s="37"/>
      <c r="R3" s="37"/>
      <c r="S3" s="37" t="s">
        <v>2</v>
      </c>
      <c r="T3" s="37" t="s">
        <v>5</v>
      </c>
      <c r="U3" s="48" t="s">
        <v>4</v>
      </c>
    </row>
    <row r="4" spans="1:21" s="2" customFormat="1" ht="21" customHeight="1" thickBot="1">
      <c r="A4" s="46"/>
      <c r="B4" s="38"/>
      <c r="C4" s="38"/>
      <c r="D4" s="38"/>
      <c r="E4" s="38"/>
      <c r="F4" s="38"/>
      <c r="G4" s="3">
        <v>1</v>
      </c>
      <c r="H4" s="3">
        <v>2</v>
      </c>
      <c r="I4" s="3">
        <v>3</v>
      </c>
      <c r="J4" s="3" t="s">
        <v>7</v>
      </c>
      <c r="K4" s="3">
        <v>1</v>
      </c>
      <c r="L4" s="3">
        <v>2</v>
      </c>
      <c r="M4" s="3">
        <v>3</v>
      </c>
      <c r="N4" s="3" t="s">
        <v>7</v>
      </c>
      <c r="O4" s="3">
        <v>1</v>
      </c>
      <c r="P4" s="3">
        <v>2</v>
      </c>
      <c r="Q4" s="3">
        <v>3</v>
      </c>
      <c r="R4" s="3" t="s">
        <v>7</v>
      </c>
      <c r="S4" s="38"/>
      <c r="T4" s="38"/>
      <c r="U4" s="49"/>
    </row>
    <row r="5" spans="1:20" ht="15.75">
      <c r="A5" s="35" t="s">
        <v>150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5"/>
      <c r="T5" s="36"/>
    </row>
    <row r="6" spans="1:21" ht="12.75">
      <c r="A6" s="6" t="s">
        <v>1410</v>
      </c>
      <c r="B6" s="7" t="s">
        <v>1411</v>
      </c>
      <c r="C6" s="7" t="s">
        <v>191</v>
      </c>
      <c r="D6" s="7" t="str">
        <f>"0,6193"</f>
        <v>0,6193</v>
      </c>
      <c r="E6" s="8" t="s">
        <v>987</v>
      </c>
      <c r="F6" s="8" t="s">
        <v>988</v>
      </c>
      <c r="G6" s="9" t="s">
        <v>427</v>
      </c>
      <c r="H6" s="9" t="s">
        <v>82</v>
      </c>
      <c r="I6" s="9" t="s">
        <v>82</v>
      </c>
      <c r="J6" s="9"/>
      <c r="K6" s="9" t="s">
        <v>92</v>
      </c>
      <c r="L6" s="9" t="s">
        <v>82</v>
      </c>
      <c r="M6" s="9" t="s">
        <v>82</v>
      </c>
      <c r="N6" s="9"/>
      <c r="O6" s="9" t="s">
        <v>163</v>
      </c>
      <c r="P6" s="9" t="s">
        <v>82</v>
      </c>
      <c r="Q6" s="9" t="s">
        <v>82</v>
      </c>
      <c r="R6" s="9"/>
      <c r="S6" s="6" t="s">
        <v>68</v>
      </c>
      <c r="T6" s="7" t="str">
        <f>"0,0000"</f>
        <v>0,0000</v>
      </c>
      <c r="U6" s="8" t="s">
        <v>21</v>
      </c>
    </row>
    <row r="8" spans="1:20" ht="15.75">
      <c r="A8" s="33" t="s">
        <v>214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3"/>
      <c r="T8" s="34"/>
    </row>
    <row r="9" spans="1:21" ht="12.75">
      <c r="A9" s="6" t="s">
        <v>1412</v>
      </c>
      <c r="B9" s="7" t="s">
        <v>1413</v>
      </c>
      <c r="C9" s="7" t="s">
        <v>1414</v>
      </c>
      <c r="D9" s="7" t="str">
        <f>"0,5952"</f>
        <v>0,5952</v>
      </c>
      <c r="E9" s="8" t="s">
        <v>523</v>
      </c>
      <c r="F9" s="8" t="s">
        <v>524</v>
      </c>
      <c r="G9" s="7" t="s">
        <v>806</v>
      </c>
      <c r="H9" s="9" t="s">
        <v>862</v>
      </c>
      <c r="I9" s="9" t="s">
        <v>854</v>
      </c>
      <c r="J9" s="9"/>
      <c r="K9" s="7" t="s">
        <v>224</v>
      </c>
      <c r="L9" s="7" t="s">
        <v>448</v>
      </c>
      <c r="M9" s="9" t="s">
        <v>428</v>
      </c>
      <c r="N9" s="9"/>
      <c r="O9" s="7" t="s">
        <v>436</v>
      </c>
      <c r="P9" s="7" t="s">
        <v>437</v>
      </c>
      <c r="Q9" s="7" t="s">
        <v>690</v>
      </c>
      <c r="R9" s="9" t="s">
        <v>806</v>
      </c>
      <c r="S9" s="6" t="s">
        <v>1415</v>
      </c>
      <c r="T9" s="7" t="str">
        <f>"444,9120"</f>
        <v>444,9120</v>
      </c>
      <c r="U9" s="8" t="s">
        <v>21</v>
      </c>
    </row>
    <row r="11" ht="15.75">
      <c r="E11" s="23" t="s">
        <v>325</v>
      </c>
    </row>
    <row r="12" ht="15.75">
      <c r="E12" s="23" t="s">
        <v>326</v>
      </c>
    </row>
    <row r="13" ht="15.75">
      <c r="E13" s="23" t="s">
        <v>327</v>
      </c>
    </row>
    <row r="14" ht="15.75">
      <c r="E14" s="23" t="s">
        <v>328</v>
      </c>
    </row>
    <row r="15" ht="15.75">
      <c r="E15" s="23" t="s">
        <v>328</v>
      </c>
    </row>
    <row r="16" ht="15.75">
      <c r="E16" s="23" t="s">
        <v>329</v>
      </c>
    </row>
    <row r="17" ht="15.75">
      <c r="E17" s="23"/>
    </row>
    <row r="19" spans="1:2" ht="18">
      <c r="A19" s="24" t="s">
        <v>330</v>
      </c>
      <c r="B19" s="25"/>
    </row>
    <row r="20" spans="1:2" ht="15.75">
      <c r="A20" s="26" t="s">
        <v>352</v>
      </c>
      <c r="B20" s="10"/>
    </row>
    <row r="21" spans="1:2" ht="13.5">
      <c r="A21" s="28"/>
      <c r="B21" s="29" t="s">
        <v>332</v>
      </c>
    </row>
    <row r="22" spans="1:5" ht="13.5">
      <c r="A22" s="30" t="s">
        <v>333</v>
      </c>
      <c r="B22" s="30" t="s">
        <v>334</v>
      </c>
      <c r="C22" s="30" t="s">
        <v>335</v>
      </c>
      <c r="D22" s="30" t="s">
        <v>336</v>
      </c>
      <c r="E22" s="30" t="s">
        <v>337</v>
      </c>
    </row>
    <row r="23" spans="1:5" ht="12.75">
      <c r="A23" s="27" t="s">
        <v>1412</v>
      </c>
      <c r="B23" s="1" t="s">
        <v>332</v>
      </c>
      <c r="C23" s="1" t="s">
        <v>370</v>
      </c>
      <c r="D23" s="1" t="s">
        <v>1416</v>
      </c>
      <c r="E23" s="4" t="s">
        <v>1417</v>
      </c>
    </row>
    <row r="28" spans="1:2" ht="18">
      <c r="A28" s="24" t="s">
        <v>1349</v>
      </c>
      <c r="B28" s="25"/>
    </row>
    <row r="29" spans="1:3" ht="13.5">
      <c r="A29" s="30" t="s">
        <v>1350</v>
      </c>
      <c r="B29" s="30" t="s">
        <v>1351</v>
      </c>
      <c r="C29" s="30" t="s">
        <v>1352</v>
      </c>
    </row>
    <row r="30" spans="1:3" ht="12.75">
      <c r="A30" s="4" t="s">
        <v>523</v>
      </c>
      <c r="B30" s="1" t="s">
        <v>1359</v>
      </c>
      <c r="C30" s="1" t="s">
        <v>1418</v>
      </c>
    </row>
  </sheetData>
  <sheetProtection/>
  <mergeCells count="15">
    <mergeCell ref="F3:F4"/>
    <mergeCell ref="G3:J3"/>
    <mergeCell ref="K3:N3"/>
    <mergeCell ref="O3:R3"/>
    <mergeCell ref="S3:S4"/>
    <mergeCell ref="T3:T4"/>
    <mergeCell ref="U3:U4"/>
    <mergeCell ref="A5:T5"/>
    <mergeCell ref="A8:T8"/>
    <mergeCell ref="A1:U2"/>
    <mergeCell ref="A3:A4"/>
    <mergeCell ref="B3:B4"/>
    <mergeCell ref="C3:C4"/>
    <mergeCell ref="D3:D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workbookViewId="0" topLeftCell="A1">
      <selection activeCell="A1" sqref="A1:M2"/>
    </sheetView>
  </sheetViews>
  <sheetFormatPr defaultColWidth="9.125" defaultRowHeight="12.75"/>
  <cols>
    <col min="1" max="1" width="34.625" style="4" bestFit="1" customWidth="1"/>
    <col min="2" max="2" width="21.375" style="1" bestFit="1" customWidth="1"/>
    <col min="3" max="3" width="16.375" style="1" bestFit="1" customWidth="1"/>
    <col min="4" max="4" width="9.25390625" style="1" bestFit="1" customWidth="1"/>
    <col min="5" max="5" width="22.75390625" style="5" bestFit="1" customWidth="1"/>
    <col min="6" max="6" width="24.375" style="5" bestFit="1" customWidth="1"/>
    <col min="7" max="9" width="5.625" style="1" bestFit="1" customWidth="1"/>
    <col min="10" max="10" width="4.625" style="1" bestFit="1" customWidth="1"/>
    <col min="11" max="11" width="7.875" style="4" bestFit="1" customWidth="1"/>
    <col min="12" max="12" width="8.625" style="1" bestFit="1" customWidth="1"/>
    <col min="13" max="13" width="8.875" style="5" bestFit="1" customWidth="1"/>
    <col min="14" max="16384" width="9.125" style="1" customWidth="1"/>
  </cols>
  <sheetData>
    <row r="1" spans="1:13" ht="15" customHeight="1">
      <c r="A1" s="39" t="s">
        <v>1419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66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2" customFormat="1" ht="12.75" customHeight="1">
      <c r="A3" s="45" t="s">
        <v>0</v>
      </c>
      <c r="B3" s="47" t="s">
        <v>9</v>
      </c>
      <c r="C3" s="37" t="s">
        <v>3</v>
      </c>
      <c r="D3" s="37" t="s">
        <v>11</v>
      </c>
      <c r="E3" s="37" t="s">
        <v>6</v>
      </c>
      <c r="F3" s="37" t="s">
        <v>8</v>
      </c>
      <c r="G3" s="37" t="s">
        <v>418</v>
      </c>
      <c r="H3" s="37"/>
      <c r="I3" s="37"/>
      <c r="J3" s="37"/>
      <c r="K3" s="37" t="s">
        <v>2</v>
      </c>
      <c r="L3" s="37" t="s">
        <v>5</v>
      </c>
      <c r="M3" s="48" t="s">
        <v>4</v>
      </c>
    </row>
    <row r="4" spans="1:13" s="2" customFormat="1" ht="21" customHeight="1" thickBot="1">
      <c r="A4" s="46"/>
      <c r="B4" s="38"/>
      <c r="C4" s="38"/>
      <c r="D4" s="38"/>
      <c r="E4" s="38"/>
      <c r="F4" s="38"/>
      <c r="G4" s="3">
        <v>1</v>
      </c>
      <c r="H4" s="3">
        <v>2</v>
      </c>
      <c r="I4" s="3">
        <v>3</v>
      </c>
      <c r="J4" s="3" t="s">
        <v>7</v>
      </c>
      <c r="K4" s="38"/>
      <c r="L4" s="38"/>
      <c r="M4" s="49"/>
    </row>
    <row r="5" spans="1:12" ht="15.75">
      <c r="A5" s="35" t="s">
        <v>259</v>
      </c>
      <c r="B5" s="36"/>
      <c r="C5" s="36"/>
      <c r="D5" s="36"/>
      <c r="E5" s="36"/>
      <c r="F5" s="36"/>
      <c r="G5" s="36"/>
      <c r="H5" s="36"/>
      <c r="I5" s="36"/>
      <c r="J5" s="36"/>
      <c r="K5" s="35"/>
      <c r="L5" s="36"/>
    </row>
    <row r="6" spans="1:13" ht="12.75">
      <c r="A6" s="6" t="s">
        <v>438</v>
      </c>
      <c r="B6" s="7" t="s">
        <v>439</v>
      </c>
      <c r="C6" s="7" t="s">
        <v>1420</v>
      </c>
      <c r="D6" s="7" t="str">
        <f>"0,5545"</f>
        <v>0,5545</v>
      </c>
      <c r="E6" s="8" t="s">
        <v>440</v>
      </c>
      <c r="F6" s="8" t="s">
        <v>441</v>
      </c>
      <c r="G6" s="7" t="s">
        <v>809</v>
      </c>
      <c r="H6" s="7" t="s">
        <v>706</v>
      </c>
      <c r="I6" s="9" t="s">
        <v>698</v>
      </c>
      <c r="J6" s="9"/>
      <c r="K6" s="6" t="s">
        <v>1031</v>
      </c>
      <c r="L6" s="7" t="str">
        <f>"171,8950"</f>
        <v>171,8950</v>
      </c>
      <c r="M6" s="8" t="s">
        <v>21</v>
      </c>
    </row>
    <row r="8" ht="15.75">
      <c r="E8" s="23" t="s">
        <v>325</v>
      </c>
    </row>
    <row r="9" ht="15.75">
      <c r="E9" s="23" t="s">
        <v>326</v>
      </c>
    </row>
    <row r="10" ht="15.75">
      <c r="E10" s="23" t="s">
        <v>327</v>
      </c>
    </row>
    <row r="11" ht="15.75">
      <c r="E11" s="23" t="s">
        <v>328</v>
      </c>
    </row>
    <row r="12" ht="15.75">
      <c r="E12" s="23" t="s">
        <v>328</v>
      </c>
    </row>
    <row r="13" ht="15.75">
      <c r="E13" s="23" t="s">
        <v>329</v>
      </c>
    </row>
    <row r="14" ht="15.75">
      <c r="E14" s="23"/>
    </row>
    <row r="16" spans="1:2" ht="18">
      <c r="A16" s="24" t="s">
        <v>330</v>
      </c>
      <c r="B16" s="25"/>
    </row>
    <row r="17" spans="1:2" ht="15.75">
      <c r="A17" s="26" t="s">
        <v>352</v>
      </c>
      <c r="B17" s="10"/>
    </row>
    <row r="18" spans="1:2" ht="13.5">
      <c r="A18" s="28"/>
      <c r="B18" s="29" t="s">
        <v>332</v>
      </c>
    </row>
    <row r="19" spans="1:5" ht="13.5">
      <c r="A19" s="30" t="s">
        <v>333</v>
      </c>
      <c r="B19" s="30" t="s">
        <v>334</v>
      </c>
      <c r="C19" s="30" t="s">
        <v>335</v>
      </c>
      <c r="D19" s="30" t="s">
        <v>336</v>
      </c>
      <c r="E19" s="30" t="s">
        <v>337</v>
      </c>
    </row>
    <row r="20" spans="1:5" ht="12.75">
      <c r="A20" s="27" t="s">
        <v>438</v>
      </c>
      <c r="B20" s="1" t="s">
        <v>332</v>
      </c>
      <c r="C20" s="1" t="s">
        <v>363</v>
      </c>
      <c r="D20" s="1" t="s">
        <v>706</v>
      </c>
      <c r="E20" s="4" t="s">
        <v>1421</v>
      </c>
    </row>
    <row r="25" spans="1:2" ht="18">
      <c r="A25" s="24" t="s">
        <v>1349</v>
      </c>
      <c r="B25" s="25"/>
    </row>
    <row r="26" spans="1:3" ht="13.5">
      <c r="A26" s="30" t="s">
        <v>1350</v>
      </c>
      <c r="B26" s="30" t="s">
        <v>1351</v>
      </c>
      <c r="C26" s="30" t="s">
        <v>1352</v>
      </c>
    </row>
    <row r="27" spans="1:3" ht="12.75">
      <c r="A27" s="4" t="s">
        <v>440</v>
      </c>
      <c r="B27" s="1" t="s">
        <v>1359</v>
      </c>
      <c r="C27" s="1" t="s">
        <v>1422</v>
      </c>
    </row>
  </sheetData>
  <sheetProtection/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Marina Repnitsyna</cp:lastModifiedBy>
  <cp:lastPrinted>2016-06-05T12:46:23Z</cp:lastPrinted>
  <dcterms:created xsi:type="dcterms:W3CDTF">2002-06-16T13:36:44Z</dcterms:created>
  <dcterms:modified xsi:type="dcterms:W3CDTF">2017-01-09T07:10:25Z</dcterms:modified>
  <cp:category/>
  <cp:version/>
  <cp:contentType/>
  <cp:contentStatus/>
</cp:coreProperties>
</file>